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11325" activeTab="1"/>
  </bookViews>
  <sheets>
    <sheet name="Tier 1 VR NOI price list" sheetId="2" r:id="rId1"/>
    <sheet name="Tier 2 VR NOI price list" sheetId="1" r:id="rId2"/>
    <sheet name="Tier 1 VR NOI price list (2)" sheetId="3" r:id="rId3"/>
  </sheets>
  <definedNames>
    <definedName name="BeginningDate" localSheetId="0">'Tier 1 VR NOI price list'!$I$7</definedName>
    <definedName name="BeginningDate" localSheetId="2">'Tier 1 VR NOI price list (2)'!$I$7</definedName>
    <definedName name="BeginningDate">'Tier 2 VR NOI price list'!$I$7</definedName>
    <definedName name="DealDescription" localSheetId="0">'Tier 1 VR NOI price list'!$C$8</definedName>
    <definedName name="DealDescription" localSheetId="2">'Tier 1 VR NOI price list (2)'!$C$8</definedName>
    <definedName name="DealDescription">'Tier 2 VR NOI price list'!$C$8</definedName>
    <definedName name="EndDate" localSheetId="0">'Tier 1 VR NOI price list'!$I$8</definedName>
    <definedName name="EndDate" localSheetId="2">'Tier 1 VR NOI price list (2)'!$I$8</definedName>
    <definedName name="EndDate">'Tier 2 VR NOI price list'!$I$8</definedName>
    <definedName name="Josh" localSheetId="0">#REF!</definedName>
    <definedName name="Josh" localSheetId="2">#REF!</definedName>
    <definedName name="Josh">#REF!</definedName>
    <definedName name="_xlnm.Print_Area" localSheetId="0">'Tier 1 VR NOI price list'!$A$1:$V$73</definedName>
    <definedName name="_xlnm.Print_Area" localSheetId="2">'Tier 1 VR NOI price list (2)'!$A$1:$V$73</definedName>
    <definedName name="_xlnm.Print_Area" localSheetId="1">'Tier 2 VR NOI price list'!$A$1:$V$73</definedName>
  </definedNames>
  <calcPr calcId="145621" concurrentCalc="0"/>
</workbook>
</file>

<file path=xl/calcChain.xml><?xml version="1.0" encoding="utf-8"?>
<calcChain xmlns="http://schemas.openxmlformats.org/spreadsheetml/2006/main">
  <c r="H72" i="3" l="1"/>
  <c r="H70" i="3"/>
  <c r="H69" i="3"/>
  <c r="H68" i="3"/>
  <c r="M64" i="3"/>
  <c r="M63" i="3"/>
  <c r="O61" i="3"/>
  <c r="N61" i="3"/>
  <c r="P61" i="3"/>
  <c r="M61" i="3"/>
  <c r="Q61" i="3"/>
  <c r="O60" i="3"/>
  <c r="M60" i="3"/>
  <c r="O59" i="3"/>
  <c r="N59" i="3"/>
  <c r="P59" i="3"/>
  <c r="M59" i="3"/>
  <c r="Q59" i="3"/>
  <c r="R58" i="3"/>
  <c r="O58" i="3"/>
  <c r="M58" i="3"/>
  <c r="N58" i="3"/>
  <c r="R57" i="3"/>
  <c r="O57" i="3"/>
  <c r="N57" i="3"/>
  <c r="P57" i="3"/>
  <c r="T57" i="3"/>
  <c r="U57" i="3"/>
  <c r="M57" i="3"/>
  <c r="Q57" i="3"/>
  <c r="V57" i="3"/>
  <c r="R56" i="3"/>
  <c r="O56" i="3"/>
  <c r="M56" i="3"/>
  <c r="R55" i="3"/>
  <c r="O55" i="3"/>
  <c r="N55" i="3"/>
  <c r="P55" i="3"/>
  <c r="T55" i="3"/>
  <c r="U55" i="3"/>
  <c r="M55" i="3"/>
  <c r="Q55" i="3"/>
  <c r="V55" i="3"/>
  <c r="R54" i="3"/>
  <c r="O54" i="3"/>
  <c r="M54" i="3"/>
  <c r="N54" i="3"/>
  <c r="R53" i="3"/>
  <c r="P53" i="3"/>
  <c r="T53" i="3"/>
  <c r="U53" i="3"/>
  <c r="O53" i="3"/>
  <c r="N53" i="3"/>
  <c r="M53" i="3"/>
  <c r="Q53" i="3"/>
  <c r="V53" i="3"/>
  <c r="R52" i="3"/>
  <c r="O52" i="3"/>
  <c r="M52" i="3"/>
  <c r="R51" i="3"/>
  <c r="O51" i="3"/>
  <c r="N51" i="3"/>
  <c r="P51" i="3"/>
  <c r="T51" i="3"/>
  <c r="U51" i="3"/>
  <c r="M51" i="3"/>
  <c r="Q51" i="3"/>
  <c r="V51" i="3"/>
  <c r="R50" i="3"/>
  <c r="O50" i="3"/>
  <c r="M50" i="3"/>
  <c r="N50" i="3"/>
  <c r="R49" i="3"/>
  <c r="P49" i="3"/>
  <c r="T49" i="3"/>
  <c r="U49" i="3"/>
  <c r="O49" i="3"/>
  <c r="N49" i="3"/>
  <c r="M49" i="3"/>
  <c r="Q49" i="3"/>
  <c r="V49" i="3"/>
  <c r="R48" i="3"/>
  <c r="O48" i="3"/>
  <c r="M48" i="3"/>
  <c r="R47" i="3"/>
  <c r="O47" i="3"/>
  <c r="N47" i="3"/>
  <c r="P47" i="3"/>
  <c r="T47" i="3"/>
  <c r="U47" i="3"/>
  <c r="M47" i="3"/>
  <c r="Q47" i="3"/>
  <c r="V47" i="3"/>
  <c r="R46" i="3"/>
  <c r="O46" i="3"/>
  <c r="M46" i="3"/>
  <c r="N46" i="3"/>
  <c r="R45" i="3"/>
  <c r="P45" i="3"/>
  <c r="T45" i="3"/>
  <c r="U45" i="3"/>
  <c r="O45" i="3"/>
  <c r="N45" i="3"/>
  <c r="M45" i="3"/>
  <c r="Q45" i="3"/>
  <c r="V45" i="3"/>
  <c r="R44" i="3"/>
  <c r="O44" i="3"/>
  <c r="M44" i="3"/>
  <c r="R43" i="3"/>
  <c r="O43" i="3"/>
  <c r="N43" i="3"/>
  <c r="P43" i="3"/>
  <c r="T43" i="3"/>
  <c r="U43" i="3"/>
  <c r="M43" i="3"/>
  <c r="Q41" i="3"/>
  <c r="O41" i="3"/>
  <c r="M41" i="3"/>
  <c r="P41" i="3"/>
  <c r="O40" i="3"/>
  <c r="M40" i="3"/>
  <c r="P39" i="3"/>
  <c r="O39" i="3"/>
  <c r="N39" i="3"/>
  <c r="M39" i="3"/>
  <c r="R38" i="3"/>
  <c r="O38" i="3"/>
  <c r="M38" i="3"/>
  <c r="R37" i="3"/>
  <c r="P37" i="3"/>
  <c r="T37" i="3"/>
  <c r="U37" i="3"/>
  <c r="O37" i="3"/>
  <c r="N37" i="3"/>
  <c r="M37" i="3"/>
  <c r="R36" i="3"/>
  <c r="O36" i="3"/>
  <c r="M36" i="3"/>
  <c r="R34" i="3"/>
  <c r="P34" i="3"/>
  <c r="T34" i="3"/>
  <c r="U34" i="3"/>
  <c r="O34" i="3"/>
  <c r="N34" i="3"/>
  <c r="M34" i="3"/>
  <c r="R33" i="3"/>
  <c r="O33" i="3"/>
  <c r="M33" i="3"/>
  <c r="R32" i="3"/>
  <c r="P32" i="3"/>
  <c r="T32" i="3"/>
  <c r="U32" i="3"/>
  <c r="O32" i="3"/>
  <c r="N32" i="3"/>
  <c r="M32" i="3"/>
  <c r="R31" i="3"/>
  <c r="O31" i="3"/>
  <c r="M31" i="3"/>
  <c r="R30" i="3"/>
  <c r="P30" i="3"/>
  <c r="T30" i="3"/>
  <c r="U30" i="3"/>
  <c r="O30" i="3"/>
  <c r="N30" i="3"/>
  <c r="M30" i="3"/>
  <c r="R29" i="3"/>
  <c r="O29" i="3"/>
  <c r="M29" i="3"/>
  <c r="R28" i="3"/>
  <c r="P28" i="3"/>
  <c r="T28" i="3"/>
  <c r="U28" i="3"/>
  <c r="O28" i="3"/>
  <c r="N28" i="3"/>
  <c r="M28" i="3"/>
  <c r="R26" i="3"/>
  <c r="O26" i="3"/>
  <c r="M26" i="3"/>
  <c r="R25" i="3"/>
  <c r="P25" i="3"/>
  <c r="T25" i="3"/>
  <c r="U25" i="3"/>
  <c r="O25" i="3"/>
  <c r="N25" i="3"/>
  <c r="M25" i="3"/>
  <c r="R24" i="3"/>
  <c r="O24" i="3"/>
  <c r="M24" i="3"/>
  <c r="R23" i="3"/>
  <c r="P23" i="3"/>
  <c r="T23" i="3"/>
  <c r="U23" i="3"/>
  <c r="O23" i="3"/>
  <c r="N23" i="3"/>
  <c r="M23" i="3"/>
  <c r="R22" i="3"/>
  <c r="O22" i="3"/>
  <c r="M22" i="3"/>
  <c r="R21" i="3"/>
  <c r="P21" i="3"/>
  <c r="T21" i="3"/>
  <c r="U21" i="3"/>
  <c r="O21" i="3"/>
  <c r="N21" i="3"/>
  <c r="M21" i="3"/>
  <c r="R20" i="3"/>
  <c r="O20" i="3"/>
  <c r="M20" i="3"/>
  <c r="R19" i="3"/>
  <c r="P19" i="3"/>
  <c r="T19" i="3"/>
  <c r="U19" i="3"/>
  <c r="O19" i="3"/>
  <c r="N19" i="3"/>
  <c r="M19" i="3"/>
  <c r="R18" i="3"/>
  <c r="O18" i="3"/>
  <c r="M18" i="3"/>
  <c r="R17" i="3"/>
  <c r="P17" i="3"/>
  <c r="T17" i="3"/>
  <c r="U17" i="3"/>
  <c r="O17" i="3"/>
  <c r="N17" i="3"/>
  <c r="M17" i="3"/>
  <c r="R16" i="3"/>
  <c r="O16" i="3"/>
  <c r="M16" i="3"/>
  <c r="R15" i="3"/>
  <c r="P15" i="3"/>
  <c r="T15" i="3"/>
  <c r="U15" i="3"/>
  <c r="O15" i="3"/>
  <c r="N15" i="3"/>
  <c r="M15" i="3"/>
  <c r="R14" i="3"/>
  <c r="O14" i="3"/>
  <c r="M14" i="3"/>
  <c r="R13" i="3"/>
  <c r="P13" i="3"/>
  <c r="T13" i="3"/>
  <c r="U13" i="3"/>
  <c r="O13" i="3"/>
  <c r="N13" i="3"/>
  <c r="M13" i="3"/>
  <c r="N10" i="3"/>
  <c r="M10" i="3"/>
  <c r="N14" i="3"/>
  <c r="P14" i="3"/>
  <c r="T14" i="3"/>
  <c r="U14" i="3"/>
  <c r="N18" i="3"/>
  <c r="P18" i="3"/>
  <c r="T18" i="3"/>
  <c r="U18" i="3"/>
  <c r="N22" i="3"/>
  <c r="P22" i="3"/>
  <c r="T22" i="3"/>
  <c r="U22" i="3"/>
  <c r="N26" i="3"/>
  <c r="P26" i="3"/>
  <c r="T26" i="3"/>
  <c r="U26" i="3"/>
  <c r="N31" i="3"/>
  <c r="P31" i="3"/>
  <c r="T31" i="3"/>
  <c r="U31" i="3"/>
  <c r="N36" i="3"/>
  <c r="P36" i="3"/>
  <c r="T36" i="3"/>
  <c r="U36" i="3"/>
  <c r="P38" i="3"/>
  <c r="T38" i="3"/>
  <c r="U38" i="3"/>
  <c r="N38" i="3"/>
  <c r="Q13" i="3"/>
  <c r="V13" i="3"/>
  <c r="Q15" i="3"/>
  <c r="V15" i="3"/>
  <c r="Q17" i="3"/>
  <c r="V17" i="3"/>
  <c r="Q19" i="3"/>
  <c r="V19" i="3"/>
  <c r="Q21" i="3"/>
  <c r="V21" i="3"/>
  <c r="Q22" i="3"/>
  <c r="V22" i="3"/>
  <c r="Q23" i="3"/>
  <c r="V23" i="3"/>
  <c r="Q25" i="3"/>
  <c r="V25" i="3"/>
  <c r="Q28" i="3"/>
  <c r="V28" i="3"/>
  <c r="Q30" i="3"/>
  <c r="V30" i="3"/>
  <c r="Q32" i="3"/>
  <c r="V32" i="3"/>
  <c r="Q34" i="3"/>
  <c r="V34" i="3"/>
  <c r="Q37" i="3"/>
  <c r="V37" i="3"/>
  <c r="Q38" i="3"/>
  <c r="V38" i="3"/>
  <c r="Q39" i="3"/>
  <c r="N40" i="3"/>
  <c r="Q40" i="3"/>
  <c r="P40" i="3"/>
  <c r="N16" i="3"/>
  <c r="Q16" i="3"/>
  <c r="V16" i="3"/>
  <c r="N20" i="3"/>
  <c r="P20" i="3"/>
  <c r="T20" i="3"/>
  <c r="U20" i="3"/>
  <c r="N24" i="3"/>
  <c r="Q24" i="3"/>
  <c r="V24" i="3"/>
  <c r="N29" i="3"/>
  <c r="P29" i="3"/>
  <c r="T29" i="3"/>
  <c r="U29" i="3"/>
  <c r="N33" i="3"/>
  <c r="Q33" i="3"/>
  <c r="V33" i="3"/>
  <c r="Q43" i="3"/>
  <c r="V43" i="3"/>
  <c r="P44" i="3"/>
  <c r="T44" i="3"/>
  <c r="U44" i="3"/>
  <c r="N44" i="3"/>
  <c r="Q44" i="3"/>
  <c r="V44" i="3"/>
  <c r="P46" i="3"/>
  <c r="T46" i="3"/>
  <c r="U46" i="3"/>
  <c r="N48" i="3"/>
  <c r="P48" i="3"/>
  <c r="T48" i="3"/>
  <c r="U48" i="3"/>
  <c r="P50" i="3"/>
  <c r="T50" i="3"/>
  <c r="U50" i="3"/>
  <c r="N52" i="3"/>
  <c r="P52" i="3"/>
  <c r="T52" i="3"/>
  <c r="U52" i="3"/>
  <c r="P54" i="3"/>
  <c r="T54" i="3"/>
  <c r="U54" i="3"/>
  <c r="N56" i="3"/>
  <c r="Q56" i="3"/>
  <c r="V56" i="3"/>
  <c r="P58" i="3"/>
  <c r="T58" i="3"/>
  <c r="U58" i="3"/>
  <c r="N60" i="3"/>
  <c r="P60" i="3"/>
  <c r="Q46" i="3"/>
  <c r="V46" i="3"/>
  <c r="Q50" i="3"/>
  <c r="V50" i="3"/>
  <c r="Q54" i="3"/>
  <c r="V54" i="3"/>
  <c r="Q58" i="3"/>
  <c r="V58" i="3"/>
  <c r="R26" i="1"/>
  <c r="O26" i="1"/>
  <c r="M26" i="1"/>
  <c r="N26" i="1"/>
  <c r="Q48" i="3"/>
  <c r="V48" i="3"/>
  <c r="Q31" i="3"/>
  <c r="V31" i="3"/>
  <c r="Q14" i="3"/>
  <c r="V14" i="3"/>
  <c r="P56" i="3"/>
  <c r="T56" i="3"/>
  <c r="U56" i="3"/>
  <c r="Q29" i="3"/>
  <c r="V29" i="3"/>
  <c r="Q60" i="3"/>
  <c r="P33" i="3"/>
  <c r="T33" i="3"/>
  <c r="U33" i="3"/>
  <c r="P24" i="3"/>
  <c r="T24" i="3"/>
  <c r="U24" i="3"/>
  <c r="P16" i="3"/>
  <c r="T16" i="3"/>
  <c r="U16" i="3"/>
  <c r="Q36" i="3"/>
  <c r="V36" i="3"/>
  <c r="Q18" i="3"/>
  <c r="V18" i="3"/>
  <c r="Q20" i="3"/>
  <c r="V20" i="3"/>
  <c r="Q52" i="3"/>
  <c r="V52" i="3"/>
  <c r="Q26" i="3"/>
  <c r="V26" i="3"/>
  <c r="P26" i="1"/>
  <c r="T26" i="1"/>
  <c r="U26" i="1"/>
  <c r="Q26" i="1"/>
  <c r="V26" i="1"/>
  <c r="H72" i="2"/>
  <c r="H70" i="2"/>
  <c r="H69" i="2"/>
  <c r="H68" i="2"/>
  <c r="M64" i="2"/>
  <c r="M63" i="2"/>
  <c r="O61" i="2"/>
  <c r="M61" i="2"/>
  <c r="O60" i="2"/>
  <c r="M60" i="2"/>
  <c r="N60" i="2"/>
  <c r="O59" i="2"/>
  <c r="M59" i="2"/>
  <c r="R58" i="2"/>
  <c r="O58" i="2"/>
  <c r="M58" i="2"/>
  <c r="N58" i="2"/>
  <c r="R57" i="2"/>
  <c r="O57" i="2"/>
  <c r="M57" i="2"/>
  <c r="R56" i="2"/>
  <c r="O56" i="2"/>
  <c r="M56" i="2"/>
  <c r="N56" i="2"/>
  <c r="P56" i="2"/>
  <c r="T56" i="2"/>
  <c r="U56" i="2"/>
  <c r="R55" i="2"/>
  <c r="O55" i="2"/>
  <c r="M55" i="2"/>
  <c r="R54" i="2"/>
  <c r="O54" i="2"/>
  <c r="M54" i="2"/>
  <c r="N54" i="2"/>
  <c r="P54" i="2"/>
  <c r="T54" i="2"/>
  <c r="U54" i="2"/>
  <c r="R53" i="2"/>
  <c r="O53" i="2"/>
  <c r="M53" i="2"/>
  <c r="R52" i="2"/>
  <c r="O52" i="2"/>
  <c r="M52" i="2"/>
  <c r="N52" i="2"/>
  <c r="P52" i="2"/>
  <c r="T52" i="2"/>
  <c r="U52" i="2"/>
  <c r="R51" i="2"/>
  <c r="O51" i="2"/>
  <c r="M51" i="2"/>
  <c r="R50" i="2"/>
  <c r="O50" i="2"/>
  <c r="M50" i="2"/>
  <c r="N50" i="2"/>
  <c r="P50" i="2"/>
  <c r="T50" i="2"/>
  <c r="U50" i="2"/>
  <c r="R49" i="2"/>
  <c r="O49" i="2"/>
  <c r="M49" i="2"/>
  <c r="R48" i="2"/>
  <c r="O48" i="2"/>
  <c r="M48" i="2"/>
  <c r="N48" i="2"/>
  <c r="P48" i="2"/>
  <c r="T48" i="2"/>
  <c r="U48" i="2"/>
  <c r="R47" i="2"/>
  <c r="O47" i="2"/>
  <c r="M47" i="2"/>
  <c r="R46" i="2"/>
  <c r="O46" i="2"/>
  <c r="M46" i="2"/>
  <c r="N46" i="2"/>
  <c r="P46" i="2"/>
  <c r="T46" i="2"/>
  <c r="U46" i="2"/>
  <c r="R45" i="2"/>
  <c r="O45" i="2"/>
  <c r="M45" i="2"/>
  <c r="R44" i="2"/>
  <c r="O44" i="2"/>
  <c r="M44" i="2"/>
  <c r="N44" i="2"/>
  <c r="P44" i="2"/>
  <c r="T44" i="2"/>
  <c r="U44" i="2"/>
  <c r="R43" i="2"/>
  <c r="O43" i="2"/>
  <c r="M43" i="2"/>
  <c r="O41" i="2"/>
  <c r="M41" i="2"/>
  <c r="P41" i="2"/>
  <c r="O40" i="2"/>
  <c r="M40" i="2"/>
  <c r="O39" i="2"/>
  <c r="M39" i="2"/>
  <c r="N39" i="2"/>
  <c r="P39" i="2"/>
  <c r="R38" i="2"/>
  <c r="O38" i="2"/>
  <c r="M38" i="2"/>
  <c r="R37" i="2"/>
  <c r="O37" i="2"/>
  <c r="M37" i="2"/>
  <c r="N37" i="2"/>
  <c r="P37" i="2"/>
  <c r="T37" i="2"/>
  <c r="U37" i="2"/>
  <c r="R36" i="2"/>
  <c r="O36" i="2"/>
  <c r="M36" i="2"/>
  <c r="R34" i="2"/>
  <c r="O34" i="2"/>
  <c r="M34" i="2"/>
  <c r="N34" i="2"/>
  <c r="P34" i="2"/>
  <c r="T34" i="2"/>
  <c r="U34" i="2"/>
  <c r="R33" i="2"/>
  <c r="O33" i="2"/>
  <c r="M33" i="2"/>
  <c r="R32" i="2"/>
  <c r="O32" i="2"/>
  <c r="M32" i="2"/>
  <c r="N32" i="2"/>
  <c r="P32" i="2"/>
  <c r="R31" i="2"/>
  <c r="O31" i="2"/>
  <c r="M31" i="2"/>
  <c r="R30" i="2"/>
  <c r="O30" i="2"/>
  <c r="M30" i="2"/>
  <c r="N30" i="2"/>
  <c r="P30" i="2"/>
  <c r="R29" i="2"/>
  <c r="O29" i="2"/>
  <c r="M29" i="2"/>
  <c r="R28" i="2"/>
  <c r="O28" i="2"/>
  <c r="M28" i="2"/>
  <c r="N28" i="2"/>
  <c r="P28" i="2"/>
  <c r="T28" i="2"/>
  <c r="U28" i="2"/>
  <c r="R26" i="2"/>
  <c r="O26" i="2"/>
  <c r="M26" i="2"/>
  <c r="R25" i="2"/>
  <c r="O25" i="2"/>
  <c r="N25" i="2"/>
  <c r="P25" i="2"/>
  <c r="T25" i="2"/>
  <c r="U25" i="2"/>
  <c r="M25" i="2"/>
  <c r="R24" i="2"/>
  <c r="O24" i="2"/>
  <c r="M24" i="2"/>
  <c r="R23" i="2"/>
  <c r="O23" i="2"/>
  <c r="M23" i="2"/>
  <c r="N23" i="2"/>
  <c r="P23" i="2"/>
  <c r="T23" i="2"/>
  <c r="U23" i="2"/>
  <c r="R22" i="2"/>
  <c r="O22" i="2"/>
  <c r="M22" i="2"/>
  <c r="R21" i="2"/>
  <c r="O21" i="2"/>
  <c r="M21" i="2"/>
  <c r="N21" i="2"/>
  <c r="P21" i="2"/>
  <c r="T21" i="2"/>
  <c r="U21" i="2"/>
  <c r="R20" i="2"/>
  <c r="O20" i="2"/>
  <c r="M20" i="2"/>
  <c r="R19" i="2"/>
  <c r="O19" i="2"/>
  <c r="M19" i="2"/>
  <c r="N19" i="2"/>
  <c r="P19" i="2"/>
  <c r="T19" i="2"/>
  <c r="U19" i="2"/>
  <c r="R18" i="2"/>
  <c r="O18" i="2"/>
  <c r="M18" i="2"/>
  <c r="R17" i="2"/>
  <c r="O17" i="2"/>
  <c r="M17" i="2"/>
  <c r="N17" i="2"/>
  <c r="P17" i="2"/>
  <c r="T17" i="2"/>
  <c r="U17" i="2"/>
  <c r="R16" i="2"/>
  <c r="O16" i="2"/>
  <c r="M16" i="2"/>
  <c r="R15" i="2"/>
  <c r="O15" i="2"/>
  <c r="M15" i="2"/>
  <c r="N15" i="2"/>
  <c r="P15" i="2"/>
  <c r="T15" i="2"/>
  <c r="U15" i="2"/>
  <c r="R14" i="2"/>
  <c r="O14" i="2"/>
  <c r="M14" i="2"/>
  <c r="R13" i="2"/>
  <c r="O13" i="2"/>
  <c r="M13" i="2"/>
  <c r="N13" i="2"/>
  <c r="P13" i="2"/>
  <c r="T13" i="2"/>
  <c r="U13" i="2"/>
  <c r="N10" i="2"/>
  <c r="M10" i="2"/>
  <c r="N10" i="1"/>
  <c r="M10" i="1"/>
  <c r="O61" i="1"/>
  <c r="O40" i="1"/>
  <c r="O41" i="1"/>
  <c r="M61" i="1"/>
  <c r="M60" i="1"/>
  <c r="M59" i="1"/>
  <c r="M58" i="1"/>
  <c r="M57" i="1"/>
  <c r="M56" i="1"/>
  <c r="M52" i="1"/>
  <c r="M51" i="1"/>
  <c r="M49" i="1"/>
  <c r="M47" i="1"/>
  <c r="M46" i="1"/>
  <c r="M44" i="1"/>
  <c r="M41" i="1"/>
  <c r="P41" i="1"/>
  <c r="M40" i="1"/>
  <c r="M39" i="1"/>
  <c r="M38" i="1"/>
  <c r="M37" i="1"/>
  <c r="M36" i="1"/>
  <c r="M34" i="1"/>
  <c r="M33" i="1"/>
  <c r="M32" i="1"/>
  <c r="M31" i="1"/>
  <c r="M30" i="1"/>
  <c r="M29" i="1"/>
  <c r="M28" i="1"/>
  <c r="M25" i="1"/>
  <c r="M24" i="1"/>
  <c r="M23" i="1"/>
  <c r="M20" i="1"/>
  <c r="M19" i="1"/>
  <c r="M18" i="1"/>
  <c r="M17" i="1"/>
  <c r="M16" i="1"/>
  <c r="Q40" i="1"/>
  <c r="N40" i="1"/>
  <c r="N40" i="2"/>
  <c r="P40" i="2"/>
  <c r="Q13" i="2"/>
  <c r="V13" i="2"/>
  <c r="Q15" i="2"/>
  <c r="V15" i="2"/>
  <c r="Q17" i="2"/>
  <c r="V17" i="2"/>
  <c r="Q19" i="2"/>
  <c r="V19" i="2"/>
  <c r="Q21" i="2"/>
  <c r="V21" i="2"/>
  <c r="Q23" i="2"/>
  <c r="V23" i="2"/>
  <c r="Q25" i="2"/>
  <c r="V25" i="2"/>
  <c r="Q28" i="2"/>
  <c r="V28" i="2"/>
  <c r="Q30" i="2"/>
  <c r="V30" i="2"/>
  <c r="Q32" i="2"/>
  <c r="V32" i="2"/>
  <c r="Q34" i="2"/>
  <c r="V34" i="2"/>
  <c r="Q37" i="2"/>
  <c r="V37" i="2"/>
  <c r="Q39" i="2"/>
  <c r="Q44" i="2"/>
  <c r="V44" i="2"/>
  <c r="Q46" i="2"/>
  <c r="V46" i="2"/>
  <c r="Q48" i="2"/>
  <c r="V48" i="2"/>
  <c r="Q50" i="2"/>
  <c r="V50" i="2"/>
  <c r="Q52" i="2"/>
  <c r="V52" i="2"/>
  <c r="Q54" i="2"/>
  <c r="V54" i="2"/>
  <c r="Q56" i="2"/>
  <c r="V56" i="2"/>
  <c r="Q58" i="2"/>
  <c r="V58" i="2"/>
  <c r="P58" i="2"/>
  <c r="T58" i="2"/>
  <c r="U58" i="2"/>
  <c r="P60" i="2"/>
  <c r="N14" i="2"/>
  <c r="Q14" i="2"/>
  <c r="V14" i="2"/>
  <c r="N16" i="2"/>
  <c r="Q16" i="2"/>
  <c r="V16" i="2"/>
  <c r="N18" i="2"/>
  <c r="Q18" i="2"/>
  <c r="V18" i="2"/>
  <c r="N20" i="2"/>
  <c r="Q20" i="2"/>
  <c r="V20" i="2"/>
  <c r="N22" i="2"/>
  <c r="Q22" i="2"/>
  <c r="V22" i="2"/>
  <c r="N24" i="2"/>
  <c r="Q24" i="2"/>
  <c r="V24" i="2"/>
  <c r="N26" i="2"/>
  <c r="Q26" i="2"/>
  <c r="V26" i="2"/>
  <c r="T30" i="2"/>
  <c r="U30" i="2"/>
  <c r="T32" i="2"/>
  <c r="U32" i="2"/>
  <c r="N29" i="2"/>
  <c r="P29" i="2"/>
  <c r="T29" i="2"/>
  <c r="U29" i="2"/>
  <c r="N31" i="2"/>
  <c r="P31" i="2"/>
  <c r="T31" i="2"/>
  <c r="U31" i="2"/>
  <c r="N33" i="2"/>
  <c r="Q33" i="2"/>
  <c r="V33" i="2"/>
  <c r="N36" i="2"/>
  <c r="Q36" i="2"/>
  <c r="V36" i="2"/>
  <c r="N38" i="2"/>
  <c r="Q38" i="2"/>
  <c r="V38" i="2"/>
  <c r="Q40" i="2"/>
  <c r="Q41" i="2"/>
  <c r="N43" i="2"/>
  <c r="P43" i="2"/>
  <c r="T43" i="2"/>
  <c r="U43" i="2"/>
  <c r="N45" i="2"/>
  <c r="Q45" i="2"/>
  <c r="V45" i="2"/>
  <c r="N47" i="2"/>
  <c r="P47" i="2"/>
  <c r="T47" i="2"/>
  <c r="U47" i="2"/>
  <c r="N49" i="2"/>
  <c r="Q49" i="2"/>
  <c r="V49" i="2"/>
  <c r="N51" i="2"/>
  <c r="P51" i="2"/>
  <c r="T51" i="2"/>
  <c r="U51" i="2"/>
  <c r="N53" i="2"/>
  <c r="Q53" i="2"/>
  <c r="V53" i="2"/>
  <c r="N55" i="2"/>
  <c r="P55" i="2"/>
  <c r="T55" i="2"/>
  <c r="U55" i="2"/>
  <c r="N57" i="2"/>
  <c r="Q57" i="2"/>
  <c r="V57" i="2"/>
  <c r="N59" i="2"/>
  <c r="Q59" i="2"/>
  <c r="Q60" i="2"/>
  <c r="N61" i="2"/>
  <c r="Q61" i="2"/>
  <c r="Q41" i="1"/>
  <c r="P40" i="1"/>
  <c r="N61" i="1"/>
  <c r="P61" i="1"/>
  <c r="N60" i="1"/>
  <c r="N59" i="1"/>
  <c r="P36" i="2"/>
  <c r="T36" i="2"/>
  <c r="U36" i="2"/>
  <c r="P33" i="2"/>
  <c r="T33" i="2"/>
  <c r="U33" i="2"/>
  <c r="Q31" i="2"/>
  <c r="V31" i="2"/>
  <c r="P26" i="2"/>
  <c r="T26" i="2"/>
  <c r="U26" i="2"/>
  <c r="P24" i="2"/>
  <c r="T24" i="2"/>
  <c r="U24" i="2"/>
  <c r="P22" i="2"/>
  <c r="T22" i="2"/>
  <c r="U22" i="2"/>
  <c r="P20" i="2"/>
  <c r="T20" i="2"/>
  <c r="U20" i="2"/>
  <c r="P18" i="2"/>
  <c r="T18" i="2"/>
  <c r="U18" i="2"/>
  <c r="P16" i="2"/>
  <c r="T16" i="2"/>
  <c r="U16" i="2"/>
  <c r="P61" i="2"/>
  <c r="Q55" i="2"/>
  <c r="V55" i="2"/>
  <c r="Q51" i="2"/>
  <c r="V51" i="2"/>
  <c r="Q47" i="2"/>
  <c r="V47" i="2"/>
  <c r="Q43" i="2"/>
  <c r="V43" i="2"/>
  <c r="P14" i="2"/>
  <c r="T14" i="2"/>
  <c r="U14" i="2"/>
  <c r="P59" i="2"/>
  <c r="P57" i="2"/>
  <c r="T57" i="2"/>
  <c r="U57" i="2"/>
  <c r="P53" i="2"/>
  <c r="T53" i="2"/>
  <c r="U53" i="2"/>
  <c r="P49" i="2"/>
  <c r="T49" i="2"/>
  <c r="U49" i="2"/>
  <c r="P45" i="2"/>
  <c r="T45" i="2"/>
  <c r="U45" i="2"/>
  <c r="Q29" i="2"/>
  <c r="V29" i="2"/>
  <c r="P38" i="2"/>
  <c r="T38" i="2"/>
  <c r="U38" i="2"/>
  <c r="Q59" i="1"/>
  <c r="Q61" i="1"/>
  <c r="Q60" i="1"/>
  <c r="H72" i="1"/>
  <c r="H70" i="1"/>
  <c r="H69" i="1"/>
  <c r="H68" i="1"/>
  <c r="M64" i="1"/>
  <c r="M63" i="1"/>
  <c r="O60" i="1"/>
  <c r="P60" i="1"/>
  <c r="O59" i="1"/>
  <c r="P59" i="1"/>
  <c r="R58" i="1"/>
  <c r="O58" i="1"/>
  <c r="R57" i="1"/>
  <c r="O57" i="1"/>
  <c r="R56" i="1"/>
  <c r="O56" i="1"/>
  <c r="R55" i="1"/>
  <c r="O55" i="1"/>
  <c r="R54" i="1"/>
  <c r="O54" i="1"/>
  <c r="R53" i="1"/>
  <c r="O53" i="1"/>
  <c r="N53" i="1"/>
  <c r="Q53" i="1"/>
  <c r="R52" i="1"/>
  <c r="O52" i="1"/>
  <c r="N52" i="1"/>
  <c r="R51" i="1"/>
  <c r="O51" i="1"/>
  <c r="R50" i="1"/>
  <c r="O50" i="1"/>
  <c r="N50" i="1"/>
  <c r="Q50" i="1"/>
  <c r="R49" i="1"/>
  <c r="O49" i="1"/>
  <c r="N49" i="1"/>
  <c r="Q49" i="1"/>
  <c r="R48" i="1"/>
  <c r="O48" i="1"/>
  <c r="R47" i="1"/>
  <c r="O47" i="1"/>
  <c r="R46" i="1"/>
  <c r="O46" i="1"/>
  <c r="N46" i="1"/>
  <c r="Q46" i="1"/>
  <c r="R45" i="1"/>
  <c r="O45" i="1"/>
  <c r="R44" i="1"/>
  <c r="O44" i="1"/>
  <c r="R43" i="1"/>
  <c r="O43" i="1"/>
  <c r="O39" i="1"/>
  <c r="R38" i="1"/>
  <c r="O38" i="1"/>
  <c r="R29" i="1"/>
  <c r="O29" i="1"/>
  <c r="R28" i="1"/>
  <c r="O28" i="1"/>
  <c r="R30" i="1"/>
  <c r="O30" i="1"/>
  <c r="R34" i="1"/>
  <c r="O34" i="1"/>
  <c r="R33" i="1"/>
  <c r="O33" i="1"/>
  <c r="N33" i="1"/>
  <c r="R32" i="1"/>
  <c r="O32" i="1"/>
  <c r="R31" i="1"/>
  <c r="O31" i="1"/>
  <c r="R25" i="1"/>
  <c r="O25" i="1"/>
  <c r="N25" i="1"/>
  <c r="Q25" i="1"/>
  <c r="R24" i="1"/>
  <c r="O24" i="1"/>
  <c r="N24" i="1"/>
  <c r="R23" i="1"/>
  <c r="O23" i="1"/>
  <c r="N23" i="1"/>
  <c r="R22" i="1"/>
  <c r="O22" i="1"/>
  <c r="R21" i="1"/>
  <c r="O21" i="1"/>
  <c r="N21" i="1"/>
  <c r="Q21" i="1"/>
  <c r="R37" i="1"/>
  <c r="O37" i="1"/>
  <c r="P37" i="1"/>
  <c r="N37" i="1"/>
  <c r="Q37" i="1"/>
  <c r="R36" i="1"/>
  <c r="O36" i="1"/>
  <c r="R20" i="1"/>
  <c r="O20" i="1"/>
  <c r="R19" i="1"/>
  <c r="O19" i="1"/>
  <c r="R18" i="1"/>
  <c r="O18" i="1"/>
  <c r="R17" i="1"/>
  <c r="O17" i="1"/>
  <c r="N17" i="1"/>
  <c r="R16" i="1"/>
  <c r="O16" i="1"/>
  <c r="R15" i="1"/>
  <c r="O15" i="1"/>
  <c r="M15" i="1"/>
  <c r="R14" i="1"/>
  <c r="O14" i="1"/>
  <c r="M14" i="1"/>
  <c r="R13" i="1"/>
  <c r="O13" i="1"/>
  <c r="N13" i="1"/>
  <c r="Q13" i="1"/>
  <c r="P25" i="1"/>
  <c r="T25" i="1"/>
  <c r="U25" i="1"/>
  <c r="P52" i="1"/>
  <c r="P53" i="1"/>
  <c r="T53" i="1"/>
  <c r="U53" i="1"/>
  <c r="P49" i="1"/>
  <c r="T49" i="1"/>
  <c r="U49" i="1"/>
  <c r="T37" i="1"/>
  <c r="U37" i="1"/>
  <c r="V53" i="1"/>
  <c r="T52" i="1"/>
  <c r="U52" i="1"/>
  <c r="P17" i="1"/>
  <c r="T17" i="1"/>
  <c r="U17" i="1"/>
  <c r="N38" i="1"/>
  <c r="Q38" i="1"/>
  <c r="V38" i="1"/>
  <c r="N39" i="1"/>
  <c r="Q39" i="1"/>
  <c r="N19" i="1"/>
  <c r="Q19" i="1"/>
  <c r="V19" i="1"/>
  <c r="N34" i="1"/>
  <c r="Q34" i="1"/>
  <c r="V34" i="1"/>
  <c r="N30" i="1"/>
  <c r="Q30" i="1"/>
  <c r="V30" i="1"/>
  <c r="V49" i="1"/>
  <c r="V50" i="1"/>
  <c r="N57" i="1"/>
  <c r="Q57" i="1"/>
  <c r="V57" i="1"/>
  <c r="N14" i="1"/>
  <c r="Q14" i="1"/>
  <c r="V14" i="1"/>
  <c r="N15" i="1"/>
  <c r="Q15" i="1"/>
  <c r="V15" i="1"/>
  <c r="P23" i="1"/>
  <c r="T23" i="1"/>
  <c r="U23" i="1"/>
  <c r="N54" i="1"/>
  <c r="Q54" i="1"/>
  <c r="V54" i="1"/>
  <c r="P57" i="1"/>
  <c r="T57" i="1"/>
  <c r="U57" i="1"/>
  <c r="N58" i="1"/>
  <c r="Q58" i="1"/>
  <c r="V58" i="1"/>
  <c r="V13" i="1"/>
  <c r="P14" i="1"/>
  <c r="T14" i="1"/>
  <c r="U14" i="1"/>
  <c r="Q17" i="1"/>
  <c r="V17" i="1"/>
  <c r="N18" i="1"/>
  <c r="P18" i="1"/>
  <c r="T18" i="1"/>
  <c r="U18" i="1"/>
  <c r="V37" i="1"/>
  <c r="P24" i="1"/>
  <c r="T24" i="1"/>
  <c r="U24" i="1"/>
  <c r="V25" i="1"/>
  <c r="N31" i="1"/>
  <c r="Q31" i="1"/>
  <c r="V31" i="1"/>
  <c r="P33" i="1"/>
  <c r="T33" i="1"/>
  <c r="U33" i="1"/>
  <c r="P34" i="1"/>
  <c r="T34" i="1"/>
  <c r="U34" i="1"/>
  <c r="P38" i="1"/>
  <c r="T38" i="1"/>
  <c r="U38" i="1"/>
  <c r="N45" i="1"/>
  <c r="Q45" i="1"/>
  <c r="V45" i="1"/>
  <c r="N28" i="1"/>
  <c r="P28" i="1"/>
  <c r="T28" i="1"/>
  <c r="U28" i="1"/>
  <c r="N51" i="1"/>
  <c r="P51" i="1"/>
  <c r="T51" i="1"/>
  <c r="U51" i="1"/>
  <c r="N16" i="1"/>
  <c r="P16" i="1"/>
  <c r="T16" i="1"/>
  <c r="U16" i="1"/>
  <c r="N22" i="1"/>
  <c r="P22" i="1"/>
  <c r="T22" i="1"/>
  <c r="U22" i="1"/>
  <c r="N32" i="1"/>
  <c r="P32" i="1"/>
  <c r="T32" i="1"/>
  <c r="U32" i="1"/>
  <c r="N20" i="1"/>
  <c r="Q20" i="1"/>
  <c r="V20" i="1"/>
  <c r="Q28" i="1"/>
  <c r="V28" i="1"/>
  <c r="N43" i="1"/>
  <c r="Q43" i="1"/>
  <c r="V43" i="1"/>
  <c r="Q51" i="1"/>
  <c r="V51" i="1"/>
  <c r="P13" i="1"/>
  <c r="T13" i="1"/>
  <c r="U13" i="1"/>
  <c r="Q16" i="1"/>
  <c r="V16" i="1"/>
  <c r="N36" i="1"/>
  <c r="P36" i="1"/>
  <c r="T36" i="1"/>
  <c r="U36" i="1"/>
  <c r="Q22" i="1"/>
  <c r="V22" i="1"/>
  <c r="N55" i="1"/>
  <c r="Q55" i="1"/>
  <c r="V55" i="1"/>
  <c r="V21" i="1"/>
  <c r="V46" i="1"/>
  <c r="N47" i="1"/>
  <c r="Q47" i="1"/>
  <c r="V47" i="1"/>
  <c r="Q23" i="1"/>
  <c r="V23" i="1"/>
  <c r="Q33" i="1"/>
  <c r="V33" i="1"/>
  <c r="Q52" i="1"/>
  <c r="V52" i="1"/>
  <c r="P15" i="1"/>
  <c r="T15" i="1"/>
  <c r="U15" i="1"/>
  <c r="P19" i="1"/>
  <c r="T19" i="1"/>
  <c r="U19" i="1"/>
  <c r="P21" i="1"/>
  <c r="T21" i="1"/>
  <c r="U21" i="1"/>
  <c r="Q24" i="1"/>
  <c r="V24" i="1"/>
  <c r="P31" i="1"/>
  <c r="T31" i="1"/>
  <c r="U31" i="1"/>
  <c r="P30" i="1"/>
  <c r="T30" i="1"/>
  <c r="U30" i="1"/>
  <c r="N29" i="1"/>
  <c r="Q29" i="1"/>
  <c r="V29" i="1"/>
  <c r="P39" i="1"/>
  <c r="N44" i="1"/>
  <c r="Q44" i="1"/>
  <c r="V44" i="1"/>
  <c r="P46" i="1"/>
  <c r="T46" i="1"/>
  <c r="U46" i="1"/>
  <c r="N48" i="1"/>
  <c r="Q48" i="1"/>
  <c r="V48" i="1"/>
  <c r="P50" i="1"/>
  <c r="T50" i="1"/>
  <c r="U50" i="1"/>
  <c r="P54" i="1"/>
  <c r="T54" i="1"/>
  <c r="U54" i="1"/>
  <c r="N56" i="1"/>
  <c r="Q56" i="1"/>
  <c r="V56" i="1"/>
  <c r="P58" i="1"/>
  <c r="T58" i="1"/>
  <c r="U58" i="1"/>
  <c r="P48" i="1"/>
  <c r="T48" i="1"/>
  <c r="U48" i="1"/>
  <c r="P47" i="1"/>
  <c r="T47" i="1"/>
  <c r="U47" i="1"/>
  <c r="P55" i="1"/>
  <c r="T55" i="1"/>
  <c r="U55" i="1"/>
  <c r="P56" i="1"/>
  <c r="T56" i="1"/>
  <c r="U56" i="1"/>
  <c r="P20" i="1"/>
  <c r="T20" i="1"/>
  <c r="U20" i="1"/>
  <c r="P29" i="1"/>
  <c r="T29" i="1"/>
  <c r="U29" i="1"/>
  <c r="P44" i="1"/>
  <c r="T44" i="1"/>
  <c r="U44" i="1"/>
  <c r="P45" i="1"/>
  <c r="T45" i="1"/>
  <c r="U45" i="1"/>
  <c r="Q18" i="1"/>
  <c r="V18" i="1"/>
  <c r="Q32" i="1"/>
  <c r="V32" i="1"/>
  <c r="Q36" i="1"/>
  <c r="V36" i="1"/>
  <c r="P43" i="1"/>
  <c r="T43" i="1"/>
  <c r="U43" i="1"/>
</calcChain>
</file>

<file path=xl/sharedStrings.xml><?xml version="1.0" encoding="utf-8"?>
<sst xmlns="http://schemas.openxmlformats.org/spreadsheetml/2006/main" count="1528" uniqueCount="309">
  <si>
    <t>For Internal Use Only</t>
  </si>
  <si>
    <t>REDY599</t>
  </si>
  <si>
    <t>REDYL99</t>
  </si>
  <si>
    <t>REDY572</t>
  </si>
  <si>
    <t>REDY59P</t>
  </si>
  <si>
    <t>REDYA64</t>
  </si>
  <si>
    <t>REDYA3GTH</t>
  </si>
  <si>
    <t>REDYL3G</t>
  </si>
  <si>
    <t>REDY53H</t>
  </si>
  <si>
    <t>REDY57D</t>
  </si>
  <si>
    <t>REDYL7D</t>
  </si>
  <si>
    <t>REDY59G</t>
  </si>
  <si>
    <t>REDYL9G</t>
  </si>
  <si>
    <t>REDY51Z</t>
  </si>
  <si>
    <t>REDYZ1Z</t>
  </si>
  <si>
    <t>REDSC2ZC84</t>
  </si>
  <si>
    <t>REDSC2ZC168</t>
  </si>
  <si>
    <t>REDNA1Z</t>
  </si>
  <si>
    <t>REDNA2ZC84</t>
  </si>
  <si>
    <t>REDNA2ZC168</t>
  </si>
  <si>
    <t>REDOA1Z</t>
  </si>
  <si>
    <t>REDYF1Z</t>
  </si>
  <si>
    <t>REDSC99</t>
  </si>
  <si>
    <t>REDRL99</t>
  </si>
  <si>
    <t>RPKMA9E</t>
  </si>
  <si>
    <t>RPKMA9C</t>
  </si>
  <si>
    <t>RPKNA9E</t>
  </si>
  <si>
    <t>RPKNA99</t>
  </si>
  <si>
    <t>RPKIL9E</t>
  </si>
  <si>
    <t>RPKIL99</t>
  </si>
  <si>
    <t>RPKIX99</t>
  </si>
  <si>
    <t>RPK1A99</t>
  </si>
  <si>
    <t>RPKDX99</t>
  </si>
  <si>
    <t>RPKUA99</t>
  </si>
  <si>
    <t>RPKHA99</t>
  </si>
  <si>
    <t>RPKH69X</t>
  </si>
  <si>
    <t>SACVM4PC08</t>
  </si>
  <si>
    <t>REDVB46</t>
  </si>
  <si>
    <t>Salesperson</t>
  </si>
  <si>
    <t>K12 Western Sls. Mgr</t>
  </si>
  <si>
    <t xml:space="preserve">File Date / Author: </t>
  </si>
  <si>
    <t>Tier 1</t>
  </si>
  <si>
    <t>Maximum Distributor allowance to be taken</t>
  </si>
  <si>
    <t>FOB Indiana K12 Bid Price list</t>
  </si>
  <si>
    <t xml:space="preserve">Issue Date /Author: </t>
  </si>
  <si>
    <t>Tier 2</t>
  </si>
  <si>
    <t>Todd Holmes</t>
  </si>
  <si>
    <t>K12 Eastern Sls. Mgr</t>
  </si>
  <si>
    <t>Allentown, PA</t>
  </si>
  <si>
    <t>(484) 239-1621</t>
  </si>
  <si>
    <t>tholmes@redgold.com</t>
  </si>
  <si>
    <t xml:space="preserve">Revision Date /Author: </t>
  </si>
  <si>
    <t>Tier 3</t>
  </si>
  <si>
    <t>Tracking Number:</t>
  </si>
  <si>
    <t>Contract Number:</t>
  </si>
  <si>
    <t>Jodi Batten</t>
  </si>
  <si>
    <t>K12 National Sls. Mgr</t>
  </si>
  <si>
    <t>Austin, TX</t>
  </si>
  <si>
    <t>(512) 626-4980</t>
  </si>
  <si>
    <t>jbatten@redgold.com</t>
  </si>
  <si>
    <t>Other Info:</t>
  </si>
  <si>
    <t xml:space="preserve">Pricing Start Date:  </t>
  </si>
  <si>
    <t>Pricelist</t>
  </si>
  <si>
    <t>Reference Only
Not for Billing</t>
  </si>
  <si>
    <t>Pricing End Date:</t>
  </si>
  <si>
    <r>
      <rPr>
        <b/>
        <sz val="12"/>
        <rFont val="Arial"/>
        <family val="2"/>
      </rPr>
      <t>Location/Distributor:</t>
    </r>
    <r>
      <rPr>
        <b/>
        <sz val="12"/>
        <color rgb="FFFF0000"/>
        <rFont val="Arial"/>
        <family val="2"/>
      </rPr>
      <t xml:space="preserve"> (Customer Ship To or Distributors)</t>
    </r>
  </si>
  <si>
    <t>Commercial Distibutor Bid Price for Red Gold Products</t>
  </si>
  <si>
    <t>Commodity PTV Discount Info.</t>
  </si>
  <si>
    <t>TL Delivered price w/commodity discount</t>
  </si>
  <si>
    <t>** Indicates Price Variation in Tier 3</t>
  </si>
  <si>
    <t>GTIN</t>
  </si>
  <si>
    <t>Red Gold Item Number</t>
  </si>
  <si>
    <t>Pack/
Size</t>
  </si>
  <si>
    <t>Unit Weight</t>
  </si>
  <si>
    <t>Units per case</t>
  </si>
  <si>
    <t>Gross Weight
(lbs.)</t>
  </si>
  <si>
    <t>Net Weight
(lbs.)</t>
  </si>
  <si>
    <t>Case Cube</t>
  </si>
  <si>
    <t>Case Dimensions
L x W x H</t>
  </si>
  <si>
    <t>Pallet Config.
TI x HI Pallet</t>
  </si>
  <si>
    <t>FOB Indiana RTS Price list 1-67 9/4/14</t>
  </si>
  <si>
    <t>Truckload Freight Rate/Case CWT if freight added</t>
  </si>
  <si>
    <t xml:space="preserve">Truckload Delivered price to Distr. </t>
  </si>
  <si>
    <t>1/2 Truckload Delivered price to Distr. If freight added</t>
  </si>
  <si>
    <t>DF Inventory Drawdown per case</t>
  </si>
  <si>
    <t>Truckload Commodity Case price with PTV disc. When available*</t>
  </si>
  <si>
    <t>Truckload Commodity Unit price with PTV Disc. When Available</t>
  </si>
  <si>
    <t>1/2 Truckload Commodity Case price with PTV disc. When available*</t>
  </si>
  <si>
    <t>3-00-72940-11002-7</t>
  </si>
  <si>
    <t>Red Gold Ketchup / Fancy 33%  -  #10 Cans</t>
  </si>
  <si>
    <t>6 / #10 cans</t>
  </si>
  <si>
    <t>115 oz.</t>
  </si>
  <si>
    <t>18 3/4 x12 3/4 x 7 1/4</t>
  </si>
  <si>
    <t xml:space="preserve"> 8 X 7 = 56</t>
  </si>
  <si>
    <t>3-00-72940-11583-1</t>
  </si>
  <si>
    <t xml:space="preserve">Red Gold Ketchup / Natural  / Made with sugar / Low Sodium - #10 cans </t>
  </si>
  <si>
    <t>114 oz.</t>
  </si>
  <si>
    <t>3-00-72940-11561-9</t>
  </si>
  <si>
    <t>Red Gold Ketchup / Fancy 33%  - 114 oz. Pouches</t>
  </si>
  <si>
    <t>6 / pouches</t>
  </si>
  <si>
    <t>3-00-72940-11574-9</t>
  </si>
  <si>
    <t>Red Gold Ketchup / Fancy 33%  - 114 oz. Jugs/ Pump in Case</t>
  </si>
  <si>
    <t>6 / jugs</t>
  </si>
  <si>
    <t>20 1/8 X 12 X 7 3/4</t>
  </si>
  <si>
    <t>5-00-72940-11564-4</t>
  </si>
  <si>
    <t>Red Gold Ketchup / Fancy 33%  - 64 oz. Bottles - pump available</t>
  </si>
  <si>
    <t>9 / 64 oz.</t>
  </si>
  <si>
    <t>64 oz.</t>
  </si>
  <si>
    <t>16 3/8 X 12 3/8 X 11 1/2</t>
  </si>
  <si>
    <t>10 X 5 = 50</t>
  </si>
  <si>
    <t>6-00-72940-11560-3</t>
  </si>
  <si>
    <t>Red Gold Ketchup / Fancy 33% -  3 gal. Bag in Box ( BIB)</t>
  </si>
  <si>
    <t>1 / 3 gal.</t>
  </si>
  <si>
    <t>456 oz.</t>
  </si>
  <si>
    <t>12 3/4 x 11 3/4 x 6 1/2</t>
  </si>
  <si>
    <t>12 X 7 = 84</t>
  </si>
  <si>
    <t>6-00-72940-11577-1</t>
  </si>
  <si>
    <t>Red Gold Ketchup / Natural  / Made with sugar / Low Sodium - 3 gal. BIB</t>
  </si>
  <si>
    <t>12 X 6 = 72</t>
  </si>
  <si>
    <t>6-00-72940-11562-7</t>
  </si>
  <si>
    <t>3 / 1.5 gal.</t>
  </si>
  <si>
    <t>232 oz.</t>
  </si>
  <si>
    <t>11 3/4 x11 3/4 x 10 1/4</t>
  </si>
  <si>
    <t>12 X 5 = 60</t>
  </si>
  <si>
    <t>6-00-72940-11563-4</t>
  </si>
  <si>
    <t>2 / 1.5 gal.</t>
  </si>
  <si>
    <t>6-00-72940-11550-4</t>
  </si>
  <si>
    <t>6-00-72940-11581-8</t>
  </si>
  <si>
    <t>Red Gold Ketchup / Fancy 33%  -  9 gm Foil Packets (white)</t>
  </si>
  <si>
    <t xml:space="preserve">1,000 / 9 gm. </t>
  </si>
  <si>
    <t>9 gm.</t>
  </si>
  <si>
    <t>15 3/8 X 11 5/8 X 7 1/4</t>
  </si>
  <si>
    <t>10 X 9 = 90</t>
  </si>
  <si>
    <t>6-00-72940-11584-9</t>
  </si>
  <si>
    <t>Red Gold Ketchup / Natural  / Made with sugar / Low Sodium - 9 gram Foil Packets (green)</t>
  </si>
  <si>
    <t>8-00-72940-11579-9</t>
  </si>
  <si>
    <t>250 / 1 oz.</t>
  </si>
  <si>
    <t>1 oz.</t>
  </si>
  <si>
    <t>16 1/2 X 11 1/8 X 5 1/2</t>
  </si>
  <si>
    <t>9 X 10 = 90</t>
  </si>
  <si>
    <t>8-00-72940-11587-4</t>
  </si>
  <si>
    <t>1-00-72940-11207-2</t>
  </si>
  <si>
    <t>HUYYW2R</t>
  </si>
  <si>
    <t>12 / 20 oz</t>
  </si>
  <si>
    <t>20 oz.</t>
  </si>
  <si>
    <t>11 7/8 X 9 3/4 X 7 3/8</t>
  </si>
  <si>
    <t>16 X 6 = 96</t>
  </si>
  <si>
    <t>HUYYW9G</t>
  </si>
  <si>
    <t>8-00-72940-11139-5</t>
  </si>
  <si>
    <t>Red Gold Salsa  Dipping Cups - 3 oz. (Meets 1/2 cup R/O Veg.)</t>
  </si>
  <si>
    <t>84/3oz</t>
  </si>
  <si>
    <t>3 oz</t>
  </si>
  <si>
    <t>12 1/2 x 9 1/2 x10 3/4</t>
  </si>
  <si>
    <t>15 X 4= 60</t>
  </si>
  <si>
    <t>4-00-72940-11139-7</t>
  </si>
  <si>
    <t>Red Gold Salsa  Dipping Cups - 3 oz. (Meets 1/2 cup R/O Veg.) Double Pack</t>
  </si>
  <si>
    <t>168/3 oz</t>
  </si>
  <si>
    <t>18 5/8 x12 1/2 x 11 5/8</t>
  </si>
  <si>
    <t>7 X 4 =28</t>
  </si>
  <si>
    <t>8-00-72940-82207-9</t>
  </si>
  <si>
    <t>Red Gold Marinara Sauce Dipping Cup - 2.5 oz. (Meets 1/2 cup R/O Veg)</t>
  </si>
  <si>
    <t>84/2.5oz</t>
  </si>
  <si>
    <t xml:space="preserve"> 2.5 oz.</t>
  </si>
  <si>
    <t>12 8/16 x 9 1/2 x10 3/4</t>
  </si>
  <si>
    <t>4-00-72940-82207-3</t>
  </si>
  <si>
    <t>Red Gold Marinara Sauce Dipping Cup - 2.5 oz. (Meets 1/2 cup R/O Veg) Double Pack</t>
  </si>
  <si>
    <t>168/ 2.5 oz</t>
  </si>
  <si>
    <t>7 X 4 = 28</t>
  </si>
  <si>
    <t>8-00-72940-11135-7</t>
  </si>
  <si>
    <t>8-00-72940-11580-5</t>
  </si>
  <si>
    <t>8-00-72940-11586-7</t>
  </si>
  <si>
    <t>250/ 1oz.</t>
  </si>
  <si>
    <t>7-00-72940-11119-0</t>
  </si>
  <si>
    <t>REDOA7D</t>
  </si>
  <si>
    <t>7-00-72940-17229-0</t>
  </si>
  <si>
    <t>RED2A2D</t>
  </si>
  <si>
    <t>NA</t>
  </si>
  <si>
    <t>3-00-72940-11005-8</t>
  </si>
  <si>
    <t>103 oz.</t>
  </si>
  <si>
    <t>3-00-72940-10094-3</t>
  </si>
  <si>
    <t>Red  Gold Enchilada Sauce - Enhanced Low Sodium</t>
  </si>
  <si>
    <t>106 oz.</t>
  </si>
  <si>
    <t>3-00-72940-82107-7</t>
  </si>
  <si>
    <t>3-00-72940-82100-8</t>
  </si>
  <si>
    <t xml:space="preserve">Redpack Spaghetti Sauce </t>
  </si>
  <si>
    <t>3-00-72940-82206-7</t>
  </si>
  <si>
    <t>3-00-72940-82200-5</t>
  </si>
  <si>
    <t xml:space="preserve">Redpack Marinara Sauce    </t>
  </si>
  <si>
    <t>105 oz.</t>
  </si>
  <si>
    <t>3-00-72940-81909-8</t>
  </si>
  <si>
    <t>3-00-72940-81907-4</t>
  </si>
  <si>
    <t>Redpack Pizza Sauce - Fully Prepared</t>
  </si>
  <si>
    <t>3-00-72940-81903-6</t>
  </si>
  <si>
    <t>Redpack Pizza Sauce w/ Basil</t>
  </si>
  <si>
    <t>3-00-72940-74150-4</t>
  </si>
  <si>
    <t>Redpack Sloppy Joe Sauce</t>
  </si>
  <si>
    <t>108 oz.</t>
  </si>
  <si>
    <t>3-00-72940-81400-0</t>
  </si>
  <si>
    <t>Redpack Concentrated Crushed Tomatoes</t>
  </si>
  <si>
    <t>3-00-72940-82300-2</t>
  </si>
  <si>
    <t>Redpack Tomato Paste</t>
  </si>
  <si>
    <t>111 oz.</t>
  </si>
  <si>
    <t>3-00-72940-81800-8</t>
  </si>
  <si>
    <t>Redpack Tomato Sauce</t>
  </si>
  <si>
    <t>3-00-72940-81701-8</t>
  </si>
  <si>
    <t>Redpack Tomato Puree 1.060</t>
  </si>
  <si>
    <t>8-00-72940-76006-7</t>
  </si>
  <si>
    <t>Sacramento Tomato Juice Low Sodium - 46 oz. Pet Bottles (70 mg. sodium/4 oz.)</t>
  </si>
  <si>
    <t>8/46 oz btls</t>
  </si>
  <si>
    <t>46 oz.</t>
  </si>
  <si>
    <t>18 5/8 x9 5/8 x 9 3/8</t>
  </si>
  <si>
    <t>10 X 6 = 60</t>
  </si>
  <si>
    <t>1-00-72940-14320-5</t>
  </si>
  <si>
    <t>Red Gold  Tomato Juice No Salt Added (NSA) - 46 oz. cans (12.5 mg./4 oz.)</t>
  </si>
  <si>
    <t>12 / 46 oz. cans</t>
  </si>
  <si>
    <t>17 5/16 x 13 x 7 7/16</t>
  </si>
  <si>
    <t>3-00-72940-14610-1</t>
  </si>
  <si>
    <t>REDBQ9B</t>
  </si>
  <si>
    <t>6/#10 cans</t>
  </si>
  <si>
    <t>102 oz.</t>
  </si>
  <si>
    <t>8 X 7 =56</t>
  </si>
  <si>
    <t>3-00-72940-10052-3</t>
  </si>
  <si>
    <t>VINHM99</t>
  </si>
  <si>
    <t>3-00-72940-10015-8</t>
  </si>
  <si>
    <t>VINMS99</t>
  </si>
  <si>
    <t>F.O.B.  INDIANA  Location / Distribution Center</t>
  </si>
  <si>
    <t>*MINIMUM TRUCKLOAD DELIVERY -  43,000 LBS.</t>
  </si>
  <si>
    <t>TL Freight Rate cwt</t>
  </si>
  <si>
    <t>Red Gold Distribution Center</t>
  </si>
  <si>
    <t>1/2 TL Freight Rate cwt</t>
  </si>
  <si>
    <t>2595 West State Road 28</t>
  </si>
  <si>
    <t>1/4 TL Freight Rate cwt</t>
  </si>
  <si>
    <t>Alexandria, Indiana  46001</t>
  </si>
  <si>
    <t>How to reach us: Orders</t>
  </si>
  <si>
    <t>Sales Contact:</t>
  </si>
  <si>
    <t>Other:</t>
  </si>
  <si>
    <t>Tel: (765) 754-8750</t>
  </si>
  <si>
    <t>Red Gold, LLC</t>
  </si>
  <si>
    <t>Josh Chaffin</t>
  </si>
  <si>
    <t>1500 Tomato Country Way</t>
  </si>
  <si>
    <t>K12 Admin. /Bid Coordinator</t>
  </si>
  <si>
    <t>Elwood, IN  46036</t>
  </si>
  <si>
    <t>Elwood, Indiana</t>
  </si>
  <si>
    <t>LOCAL BROKER NAME / Contact:</t>
  </si>
  <si>
    <t>765-557-5500 ext. 1210</t>
  </si>
  <si>
    <t>765-557-5500 ext. 1611</t>
  </si>
  <si>
    <t>Local Broker  Phone Number / Email:</t>
  </si>
  <si>
    <t>Attn: Jenny Brown</t>
  </si>
  <si>
    <t>jbrown@redgold.com</t>
  </si>
  <si>
    <t>jchaffin@redgold.com</t>
  </si>
  <si>
    <r>
      <rPr>
        <b/>
        <sz val="12"/>
        <color rgb="FFFF0000"/>
        <rFont val="Arial"/>
        <family val="2"/>
      </rPr>
      <t>Emergency K12 Contact:</t>
    </r>
    <r>
      <rPr>
        <sz val="12"/>
        <rFont val="Arial"/>
        <family val="2"/>
      </rPr>
      <t xml:space="preserve"> National Sales &amp; Marketing Manager: Education - Jodi Batten, SNS / Email: jbatten@redgold.com / Cell: 512-626-4980</t>
    </r>
  </si>
  <si>
    <t>Red Gold Ketchup / Natural  / Made with sugar / Low Sodium - 2/ 1.5 gal Dispenser Pouch</t>
  </si>
  <si>
    <t>Red Gold Ketchup / Fancy - 2/ 1.5 gal.Dispenser Pouches</t>
  </si>
  <si>
    <t>Red Gold Ketchup Dunk Cups - 1.0 oz.  - Low Sodium (75 mg./cup)</t>
  </si>
  <si>
    <t>Red Gold Mama Selita's Jalapeno Ketchup Dunk Cups - 1.0 oz.  - Low Sodium (75 mg.)</t>
  </si>
  <si>
    <t>Huy Fong "Rooster" Original Sriracha Hot Chili Sauce Ketchup - 12/20oz Bottles</t>
  </si>
  <si>
    <t>Huy Fong "Rooster" Original Sriracha Hot Chili Sauce Ketchup - 2/1.5 gallon Disp. Pouch</t>
  </si>
  <si>
    <t>Red Gold BBQ Sauce Dunk Cups -1.0 oz. - Made with Sugar / Low Sodium (75 mg.)</t>
  </si>
  <si>
    <t>Red Gold Marinara Sauce Dunk Cups  - 1.0 oz. (Meets 1/8th cup R/O Credit) LS (129 mg.)</t>
  </si>
  <si>
    <t>Red Gold BBQ Sauce / Made with Sugar/ Low Sodium -2/ 1.5 gal. Dispenser Pouch</t>
  </si>
  <si>
    <t>Red Gold RanchUP Dunk Cups - 1.0 oz. ("Ranch + Ketchup")  Low Sodium (100 mg.)</t>
  </si>
  <si>
    <t>Red Gold Ketchup / Fancy 33% - Pouches - 3/1.5 gal.</t>
  </si>
  <si>
    <t>11/12/15(JB)</t>
  </si>
  <si>
    <t xml:space="preserve">SY 2016-2017   K-12 Schools Bid Pricing </t>
  </si>
  <si>
    <t>Red Gold Nutritionally Enhanced Low Sodium Salsa</t>
  </si>
  <si>
    <t xml:space="preserve">Redpack Nutritionally Enhanced Low Sodium Spaghetti Sauce </t>
  </si>
  <si>
    <t xml:space="preserve">Redpack Nutritionally Enhanced Low Sodium Marinara Sauce   </t>
  </si>
  <si>
    <t>Redpack Nutritionally Enhanced Low Sodium Fully Prepared Pizza Sauce</t>
  </si>
  <si>
    <t>11/11/15 (JB &amp; RM)</t>
  </si>
  <si>
    <t xml:space="preserve">Product Description  </t>
  </si>
  <si>
    <t>Vine Ripe Spaghetti Sauce - Low Sodium - #10 cans*</t>
  </si>
  <si>
    <t>Vine Ripe Tomato Sauce - Low Sodium - #10 cans*</t>
  </si>
  <si>
    <t>Red Gold Diced Tomatoes - No Salt Added (NSA) - #10 cans*</t>
  </si>
  <si>
    <t>* Not on Commodity Processing Program</t>
  </si>
  <si>
    <t>Red Gold Sweet Relish - 2/1.5 gal Dispenser Pouch*</t>
  </si>
  <si>
    <t>Red Gold Mustard 2/ 1.5 gal. Dispenser Pouch*</t>
  </si>
  <si>
    <t>RED557D</t>
  </si>
  <si>
    <t>???</t>
  </si>
  <si>
    <t>Matthew Essner</t>
  </si>
  <si>
    <t>Missouri</t>
  </si>
  <si>
    <t>K12 Central Reg. Sls. Mgr</t>
  </si>
  <si>
    <t>(573) 445-4049</t>
  </si>
  <si>
    <t>messner@redgold.com</t>
  </si>
  <si>
    <t>7-00-72940-17230-6</t>
  </si>
  <si>
    <t>X-00-72940-XXXXX-X</t>
  </si>
  <si>
    <t>HUYYW7D</t>
  </si>
  <si>
    <r>
      <rPr>
        <b/>
        <sz val="12"/>
        <rFont val="Arial"/>
        <family val="2"/>
      </rPr>
      <t xml:space="preserve">School District: </t>
    </r>
    <r>
      <rPr>
        <b/>
        <sz val="12"/>
        <color rgb="FFFF0000"/>
        <rFont val="Arial"/>
        <family val="2"/>
      </rPr>
      <t>Generic Tier 1 +  Vine Ripe Items</t>
    </r>
  </si>
  <si>
    <t>2016-2017 PTV for DF 100332</t>
  </si>
  <si>
    <t>SY 2016/2017 Pass-Thru-Value</t>
  </si>
  <si>
    <t>*Incorporates Commodity Diversion of 100332 Tomato Paste Totes @ .4530 /lb. for SY16/17</t>
  </si>
  <si>
    <t>Payment Terms: See Sales Contact</t>
  </si>
  <si>
    <t>FOB Indiana RTS Price list 1-70 10/7/15</t>
  </si>
  <si>
    <t>46 Total Items;         41 Commodity Processed;               5 Commercial Only</t>
  </si>
  <si>
    <t>6-00-72940-11204-1</t>
  </si>
  <si>
    <t>HUYYW8G</t>
  </si>
  <si>
    <t>Huy Fong "Rooster" Original Sriracha Hot Chili Sauce Ketchup  - 8 gram Foil Packet (red)</t>
  </si>
  <si>
    <t xml:space="preserve">1,000 / 8 gm. </t>
  </si>
  <si>
    <t>8 gm.</t>
  </si>
  <si>
    <t>OTHER CONDIMENTS &amp; Portion Control Red/Orange Vegetables</t>
  </si>
  <si>
    <t>KETCHUP -  Two Varieties: 1) Regular Fancy  2) Natural/ Made with Sugar / Low Sodium</t>
  </si>
  <si>
    <t xml:space="preserve">DISPENSER CONDIMENT PRODUCTS </t>
  </si>
  <si>
    <t>TOMATO PRODUCTS  (Red/Orange Vegetables - Summary Product Formulation Statement Available)</t>
  </si>
  <si>
    <t>School District:  Caldwell County, WESTERN COOP Sschool North Carolina</t>
  </si>
  <si>
    <r>
      <rPr>
        <b/>
        <sz val="12"/>
        <rFont val="Arial"/>
        <family val="2"/>
      </rPr>
      <t>Location/Distributor:</t>
    </r>
    <r>
      <rPr>
        <b/>
        <sz val="12"/>
        <color rgb="FFFF0000"/>
        <rFont val="Arial"/>
        <family val="2"/>
      </rPr>
      <t xml:space="preserve">  US Fort Mills, US Raliegh, Sysco Raleigh, Sysco Charolette, IGH Hickory</t>
    </r>
  </si>
  <si>
    <t>****</t>
  </si>
  <si>
    <t>***</t>
  </si>
  <si>
    <t xml:space="preserve">LOCAL BROKER NAME / Contact: Key Impact </t>
  </si>
  <si>
    <t>Tricia Ivey   tivey@kisales.com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</si>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</sst>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&quot;$&quot;#,##0.0000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1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 Black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u/>
      <sz val="11"/>
      <color indexed="12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</cellStyleXfs>
  <cellXfs count="265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49" fontId="1" fillId="4" borderId="0" xfId="0" applyNumberFormat="1" applyFont="1" applyFill="1" applyBorder="1" applyAlignment="1" applyProtection="1">
      <alignment vertical="center" wrapText="1"/>
    </xf>
    <xf numFmtId="49" fontId="3" fillId="4" borderId="0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horizontal="right" vertical="center"/>
    </xf>
    <xf numFmtId="49" fontId="1" fillId="4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2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49" fontId="5" fillId="5" borderId="0" xfId="0" applyNumberFormat="1" applyFont="1" applyFill="1" applyBorder="1" applyAlignment="1" applyProtection="1">
      <alignment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/>
    </xf>
    <xf numFmtId="49" fontId="1" fillId="4" borderId="0" xfId="0" applyNumberFormat="1" applyFont="1" applyFill="1" applyAlignment="1" applyProtection="1">
      <alignment vertical="center" wrapText="1"/>
    </xf>
    <xf numFmtId="49" fontId="6" fillId="4" borderId="0" xfId="0" applyNumberFormat="1" applyFont="1" applyFill="1" applyBorder="1" applyAlignment="1" applyProtection="1">
      <alignment horizontal="right" vertical="center" wrapText="1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9" fontId="12" fillId="4" borderId="0" xfId="0" applyNumberFormat="1" applyFont="1" applyFill="1" applyBorder="1" applyAlignment="1" applyProtection="1">
      <alignment horizontal="right" vertical="center"/>
    </xf>
    <xf numFmtId="49" fontId="1" fillId="4" borderId="0" xfId="0" applyNumberFormat="1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center"/>
    </xf>
    <xf numFmtId="166" fontId="11" fillId="4" borderId="5" xfId="0" applyNumberFormat="1" applyFont="1" applyFill="1" applyBorder="1" applyAlignment="1" applyProtection="1">
      <alignment horizontal="center" vertical="center"/>
    </xf>
    <xf numFmtId="164" fontId="1" fillId="3" borderId="16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left"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</xf>
    <xf numFmtId="49" fontId="1" fillId="5" borderId="1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right" vertical="center"/>
    </xf>
    <xf numFmtId="164" fontId="20" fillId="0" borderId="1" xfId="0" applyNumberFormat="1" applyFont="1" applyBorder="1" applyAlignment="1" applyProtection="1">
      <alignment horizontal="center" vertical="center"/>
    </xf>
    <xf numFmtId="164" fontId="1" fillId="5" borderId="11" xfId="0" applyNumberFormat="1" applyFont="1" applyFill="1" applyBorder="1" applyAlignment="1" applyProtection="1">
      <alignment horizontal="center" vertical="center"/>
    </xf>
    <xf numFmtId="8" fontId="1" fillId="6" borderId="1" xfId="1" applyNumberFormat="1" applyFont="1" applyFill="1" applyBorder="1" applyAlignment="1" applyProtection="1">
      <alignment horizontal="center" vertical="center"/>
    </xf>
    <xf numFmtId="8" fontId="1" fillId="6" borderId="11" xfId="1" applyNumberFormat="1" applyFont="1" applyFill="1" applyBorder="1" applyAlignment="1" applyProtection="1">
      <alignment horizontal="center" vertical="center"/>
    </xf>
    <xf numFmtId="164" fontId="1" fillId="6" borderId="11" xfId="0" applyNumberFormat="1" applyFont="1" applyFill="1" applyBorder="1" applyAlignment="1" applyProtection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right" vertical="center"/>
    </xf>
    <xf numFmtId="164" fontId="1" fillId="0" borderId="1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right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1" fontId="1" fillId="0" borderId="1" xfId="0" applyNumberFormat="1" applyFont="1" applyBorder="1" applyAlignment="1" applyProtection="1">
      <alignment horizontal="center" vertical="center"/>
    </xf>
    <xf numFmtId="49" fontId="1" fillId="5" borderId="8" xfId="0" applyNumberFormat="1" applyFont="1" applyFill="1" applyBorder="1" applyAlignment="1" applyProtection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/>
    </xf>
    <xf numFmtId="164" fontId="1" fillId="5" borderId="11" xfId="0" applyNumberFormat="1" applyFont="1" applyFill="1" applyBorder="1" applyAlignment="1" applyProtection="1">
      <alignment horizontal="right" vertical="center"/>
    </xf>
    <xf numFmtId="0" fontId="1" fillId="0" borderId="16" xfId="0" applyFont="1" applyFill="1" applyBorder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left" vertical="center"/>
    </xf>
    <xf numFmtId="49" fontId="1" fillId="0" borderId="16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4" fontId="1" fillId="0" borderId="16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64" fontId="20" fillId="0" borderId="1" xfId="0" applyNumberFormat="1" applyFont="1" applyBorder="1" applyAlignment="1" applyProtection="1">
      <alignment horizontal="right" vertical="center"/>
    </xf>
    <xf numFmtId="2" fontId="1" fillId="0" borderId="16" xfId="0" applyNumberFormat="1" applyFont="1" applyFill="1" applyBorder="1" applyAlignment="1" applyProtection="1">
      <alignment horizontal="center" vertical="center"/>
    </xf>
    <xf numFmtId="164" fontId="2" fillId="10" borderId="16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7" fontId="1" fillId="0" borderId="0" xfId="1" applyNumberFormat="1" applyFont="1" applyFill="1" applyBorder="1" applyAlignment="1" applyProtection="1">
      <alignment horizontal="center" vertical="center"/>
    </xf>
    <xf numFmtId="0" fontId="4" fillId="0" borderId="0" xfId="2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25" fillId="11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left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8" fontId="1" fillId="6" borderId="14" xfId="1" applyNumberFormat="1" applyFont="1" applyFill="1" applyBorder="1" applyAlignment="1" applyProtection="1">
      <alignment horizontal="center" vertical="center"/>
    </xf>
    <xf numFmtId="8" fontId="1" fillId="6" borderId="3" xfId="1" applyNumberFormat="1" applyFont="1" applyFill="1" applyBorder="1" applyAlignment="1" applyProtection="1">
      <alignment horizontal="center" vertical="center"/>
    </xf>
    <xf numFmtId="164" fontId="1" fillId="6" borderId="3" xfId="0" applyNumberFormat="1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64" fontId="1" fillId="0" borderId="14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>
      <alignment vertical="center"/>
    </xf>
    <xf numFmtId="49" fontId="0" fillId="0" borderId="16" xfId="0" applyNumberFormat="1" applyFont="1" applyFill="1" applyBorder="1" applyAlignment="1" applyProtection="1">
      <alignment horizontal="left" vertical="center"/>
    </xf>
    <xf numFmtId="49" fontId="17" fillId="4" borderId="0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2" fontId="1" fillId="7" borderId="8" xfId="0" applyNumberFormat="1" applyFont="1" applyFill="1" applyBorder="1" applyAlignment="1" applyProtection="1">
      <alignment horizontal="center" vertical="center"/>
    </xf>
    <xf numFmtId="2" fontId="1" fillId="7" borderId="1" xfId="0" applyNumberFormat="1" applyFont="1" applyFill="1" applyBorder="1" applyAlignment="1" applyProtection="1">
      <alignment horizontal="center" vertical="center"/>
    </xf>
    <xf numFmtId="2" fontId="1" fillId="7" borderId="14" xfId="0" applyNumberFormat="1" applyFont="1" applyFill="1" applyBorder="1" applyAlignment="1" applyProtection="1">
      <alignment horizontal="center" vertical="center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7" borderId="1" xfId="1" applyNumberFormat="1" applyFont="1" applyFill="1" applyBorder="1" applyAlignment="1" applyProtection="1">
      <alignment horizontal="center" vertical="center"/>
    </xf>
    <xf numFmtId="49" fontId="18" fillId="6" borderId="14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2" fontId="11" fillId="7" borderId="8" xfId="0" applyNumberFormat="1" applyFont="1" applyFill="1" applyBorder="1" applyAlignment="1" applyProtection="1">
      <alignment horizontal="center" vertical="center" wrapText="1"/>
    </xf>
    <xf numFmtId="2" fontId="11" fillId="7" borderId="1" xfId="0" applyNumberFormat="1" applyFont="1" applyFill="1" applyBorder="1" applyAlignment="1" applyProtection="1">
      <alignment horizontal="center" vertical="center" wrapText="1"/>
    </xf>
    <xf numFmtId="49" fontId="5" fillId="6" borderId="1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left" vertical="center"/>
    </xf>
    <xf numFmtId="49" fontId="8" fillId="3" borderId="4" xfId="0" applyNumberFormat="1" applyFont="1" applyFill="1" applyBorder="1" applyAlignment="1" applyProtection="1">
      <alignment horizontal="left" vertical="center"/>
    </xf>
    <xf numFmtId="165" fontId="6" fillId="3" borderId="3" xfId="0" applyNumberFormat="1" applyFont="1" applyFill="1" applyBorder="1" applyAlignment="1" applyProtection="1">
      <alignment horizontal="center" vertical="center"/>
    </xf>
    <xf numFmtId="165" fontId="6" fillId="3" borderId="4" xfId="0" applyNumberFormat="1" applyFont="1" applyFill="1" applyBorder="1" applyAlignment="1" applyProtection="1">
      <alignment horizontal="center" vertical="center"/>
    </xf>
    <xf numFmtId="49" fontId="9" fillId="4" borderId="5" xfId="0" applyNumberFormat="1" applyFont="1" applyFill="1" applyBorder="1" applyAlignment="1" applyProtection="1">
      <alignment horizontal="right" vertical="center"/>
      <protection hidden="1"/>
    </xf>
    <xf numFmtId="49" fontId="10" fillId="3" borderId="6" xfId="0" applyNumberFormat="1" applyFont="1" applyFill="1" applyBorder="1" applyAlignment="1" applyProtection="1">
      <alignment horizontal="center" vertical="center"/>
      <protection hidden="1"/>
    </xf>
    <xf numFmtId="49" fontId="10" fillId="3" borderId="7" xfId="0" applyNumberFormat="1" applyFont="1" applyFill="1" applyBorder="1" applyAlignment="1" applyProtection="1">
      <alignment horizontal="center" vertical="center"/>
      <protection hidden="1"/>
    </xf>
    <xf numFmtId="49" fontId="13" fillId="3" borderId="3" xfId="0" applyNumberFormat="1" applyFont="1" applyFill="1" applyBorder="1" applyAlignment="1" applyProtection="1">
      <alignment horizontal="left" vertical="center" wrapText="1"/>
    </xf>
    <xf numFmtId="0" fontId="15" fillId="3" borderId="2" xfId="0" applyFont="1" applyFill="1" applyBorder="1" applyAlignment="1" applyProtection="1">
      <alignment horizontal="left" vertical="center"/>
    </xf>
    <xf numFmtId="49" fontId="8" fillId="3" borderId="9" xfId="0" applyNumberFormat="1" applyFont="1" applyFill="1" applyBorder="1" applyAlignment="1" applyProtection="1">
      <alignment horizontal="left" vertical="center"/>
    </xf>
    <xf numFmtId="49" fontId="8" fillId="3" borderId="5" xfId="0" applyNumberFormat="1" applyFont="1" applyFill="1" applyBorder="1" applyAlignment="1" applyProtection="1">
      <alignment horizontal="left" vertical="center"/>
    </xf>
    <xf numFmtId="165" fontId="6" fillId="3" borderId="9" xfId="0" applyNumberFormat="1" applyFont="1" applyFill="1" applyBorder="1" applyAlignment="1" applyProtection="1">
      <alignment horizontal="center" vertical="center"/>
    </xf>
    <xf numFmtId="165" fontId="6" fillId="3" borderId="5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center" vertical="center"/>
    </xf>
    <xf numFmtId="49" fontId="13" fillId="3" borderId="11" xfId="0" applyNumberFormat="1" applyFont="1" applyFill="1" applyBorder="1" applyAlignment="1" applyProtection="1">
      <alignment vertical="center" wrapText="1"/>
    </xf>
    <xf numFmtId="0" fontId="13" fillId="3" borderId="12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vertical="center"/>
    </xf>
    <xf numFmtId="49" fontId="2" fillId="6" borderId="11" xfId="0" applyNumberFormat="1" applyFont="1" applyFill="1" applyBorder="1" applyAlignment="1" applyProtection="1">
      <alignment horizontal="center" vertical="center" wrapText="1"/>
    </xf>
    <xf numFmtId="49" fontId="2" fillId="6" borderId="12" xfId="0" applyNumberFormat="1" applyFont="1" applyFill="1" applyBorder="1" applyAlignment="1" applyProtection="1">
      <alignment horizontal="center" vertical="center" wrapText="1"/>
    </xf>
    <xf numFmtId="49" fontId="2" fillId="6" borderId="8" xfId="0" applyNumberFormat="1" applyFont="1" applyFill="1" applyBorder="1" applyAlignment="1" applyProtection="1">
      <alignment horizontal="center" vertical="center" wrapText="1"/>
    </xf>
    <xf numFmtId="49" fontId="2" fillId="7" borderId="13" xfId="0" applyNumberFormat="1" applyFont="1" applyFill="1" applyBorder="1" applyAlignment="1" applyProtection="1">
      <alignment horizontal="center" vertical="center" wrapText="1"/>
    </xf>
    <xf numFmtId="49" fontId="2" fillId="7" borderId="0" xfId="0" applyNumberFormat="1" applyFont="1" applyFill="1" applyBorder="1" applyAlignment="1" applyProtection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center" vertical="center" wrapText="1"/>
    </xf>
    <xf numFmtId="0" fontId="16" fillId="8" borderId="14" xfId="0" applyFont="1" applyFill="1" applyBorder="1" applyAlignment="1" applyProtection="1">
      <alignment vertical="center" wrapText="1"/>
    </xf>
    <xf numFmtId="0" fontId="16" fillId="8" borderId="15" xfId="0" applyFont="1" applyFill="1" applyBorder="1" applyAlignment="1" applyProtection="1">
      <alignment vertical="center"/>
    </xf>
    <xf numFmtId="0" fontId="16" fillId="8" borderId="16" xfId="0" applyFont="1" applyFill="1" applyBorder="1" applyAlignment="1" applyProtection="1">
      <alignment vertical="center"/>
    </xf>
    <xf numFmtId="49" fontId="17" fillId="4" borderId="14" xfId="0" applyNumberFormat="1" applyFont="1" applyFill="1" applyBorder="1" applyAlignment="1" applyProtection="1">
      <alignment horizontal="center" vertical="center" wrapText="1"/>
    </xf>
    <xf numFmtId="49" fontId="17" fillId="4" borderId="16" xfId="0" applyNumberFormat="1" applyFont="1" applyFill="1" applyBorder="1" applyAlignment="1" applyProtection="1">
      <alignment horizontal="center" vertical="center" wrapText="1"/>
    </xf>
    <xf numFmtId="49" fontId="2" fillId="5" borderId="14" xfId="0" applyNumberFormat="1" applyFont="1" applyFill="1" applyBorder="1" applyAlignment="1" applyProtection="1">
      <alignment horizontal="center" vertical="center" wrapText="1"/>
    </xf>
    <xf numFmtId="49" fontId="2" fillId="5" borderId="16" xfId="0" applyNumberFormat="1" applyFont="1" applyFill="1" applyBorder="1" applyAlignment="1" applyProtection="1">
      <alignment horizontal="center" vertical="center" wrapText="1"/>
    </xf>
    <xf numFmtId="49" fontId="2" fillId="4" borderId="14" xfId="0" applyNumberFormat="1" applyFont="1" applyFill="1" applyBorder="1" applyAlignment="1" applyProtection="1">
      <alignment horizontal="center" vertical="center" wrapText="1"/>
    </xf>
    <xf numFmtId="49" fontId="2" fillId="4" borderId="16" xfId="0" applyNumberFormat="1" applyFont="1" applyFill="1" applyBorder="1" applyAlignment="1" applyProtection="1">
      <alignment horizontal="center" vertical="center" wrapText="1"/>
    </xf>
    <xf numFmtId="49" fontId="19" fillId="7" borderId="14" xfId="0" applyNumberFormat="1" applyFont="1" applyFill="1" applyBorder="1" applyAlignment="1" applyProtection="1">
      <alignment horizontal="center" vertical="center" wrapText="1"/>
    </xf>
    <xf numFmtId="49" fontId="19" fillId="7" borderId="16" xfId="0" applyNumberFormat="1" applyFont="1" applyFill="1" applyBorder="1" applyAlignment="1" applyProtection="1">
      <alignment horizontal="center" vertical="center" wrapText="1"/>
    </xf>
    <xf numFmtId="49" fontId="17" fillId="6" borderId="15" xfId="0" applyNumberFormat="1" applyFont="1" applyFill="1" applyBorder="1" applyAlignment="1" applyProtection="1">
      <alignment horizontal="center" vertical="center" wrapText="1"/>
    </xf>
    <xf numFmtId="49" fontId="17" fillId="6" borderId="16" xfId="0" applyNumberFormat="1" applyFont="1" applyFill="1" applyBorder="1" applyAlignment="1" applyProtection="1">
      <alignment horizontal="center" vertical="center" wrapText="1"/>
    </xf>
    <xf numFmtId="0" fontId="17" fillId="11" borderId="15" xfId="0" applyNumberFormat="1" applyFont="1" applyFill="1" applyBorder="1" applyAlignment="1" applyProtection="1">
      <alignment horizontal="center" vertical="center" wrapText="1"/>
    </xf>
    <xf numFmtId="0" fontId="17" fillId="11" borderId="16" xfId="0" applyNumberFormat="1" applyFont="1" applyFill="1" applyBorder="1" applyAlignment="1" applyProtection="1">
      <alignment horizontal="center" vertical="center" wrapText="1"/>
    </xf>
    <xf numFmtId="49" fontId="18" fillId="7" borderId="14" xfId="0" applyNumberFormat="1" applyFont="1" applyFill="1" applyBorder="1" applyAlignment="1" applyProtection="1">
      <alignment horizontal="center" vertical="center" wrapText="1"/>
    </xf>
    <xf numFmtId="49" fontId="18" fillId="7" borderId="16" xfId="0" applyNumberFormat="1" applyFont="1" applyFill="1" applyBorder="1" applyAlignment="1" applyProtection="1">
      <alignment horizontal="center" vertical="center" wrapText="1"/>
    </xf>
    <xf numFmtId="49" fontId="2" fillId="4" borderId="11" xfId="0" applyNumberFormat="1" applyFont="1" applyFill="1" applyBorder="1" applyAlignment="1" applyProtection="1">
      <alignment horizontal="left" vertical="center" indent="3"/>
    </xf>
    <xf numFmtId="49" fontId="2" fillId="4" borderId="12" xfId="0" applyNumberFormat="1" applyFont="1" applyFill="1" applyBorder="1" applyAlignment="1" applyProtection="1">
      <alignment horizontal="left" vertical="center" indent="3"/>
    </xf>
    <xf numFmtId="49" fontId="2" fillId="4" borderId="12" xfId="0" applyNumberFormat="1" applyFont="1" applyFill="1" applyBorder="1" applyAlignment="1" applyProtection="1">
      <alignment horizontal="center" vertical="center" wrapText="1"/>
    </xf>
    <xf numFmtId="49" fontId="2" fillId="4" borderId="8" xfId="0" applyNumberFormat="1" applyFont="1" applyFill="1" applyBorder="1" applyAlignment="1" applyProtection="1">
      <alignment horizontal="center" vertical="center" wrapText="1"/>
    </xf>
    <xf numFmtId="49" fontId="1" fillId="6" borderId="14" xfId="0" applyNumberFormat="1" applyFont="1" applyFill="1" applyBorder="1" applyAlignment="1" applyProtection="1">
      <alignment horizontal="center" vertical="center" wrapText="1"/>
    </xf>
    <xf numFmtId="49" fontId="1" fillId="6" borderId="16" xfId="0" applyNumberFormat="1" applyFont="1" applyFill="1" applyBorder="1" applyAlignment="1" applyProtection="1">
      <alignment horizontal="center" vertical="center" wrapText="1"/>
    </xf>
    <xf numFmtId="49" fontId="0" fillId="7" borderId="14" xfId="0" applyNumberFormat="1" applyFont="1" applyFill="1" applyBorder="1" applyAlignment="1" applyProtection="1">
      <alignment horizontal="center" vertical="center" wrapText="1"/>
    </xf>
    <xf numFmtId="49" fontId="1" fillId="7" borderId="16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indent="3"/>
    </xf>
    <xf numFmtId="49" fontId="2" fillId="0" borderId="12" xfId="0" applyNumberFormat="1" applyFont="1" applyFill="1" applyBorder="1" applyAlignment="1" applyProtection="1">
      <alignment horizontal="left" vertical="center" indent="3"/>
    </xf>
    <xf numFmtId="0" fontId="1" fillId="0" borderId="12" xfId="0" applyFont="1" applyFill="1" applyBorder="1" applyAlignment="1" applyProtection="1">
      <alignment horizontal="left" vertical="center" indent="3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49" fontId="11" fillId="9" borderId="1" xfId="0" applyNumberFormat="1" applyFont="1" applyFill="1" applyBorder="1" applyAlignment="1" applyProtection="1">
      <alignment horizontal="left" vertical="center" wrapText="1"/>
    </xf>
    <xf numFmtId="0" fontId="21" fillId="0" borderId="11" xfId="0" applyFont="1" applyFill="1" applyBorder="1" applyAlignment="1" applyProtection="1">
      <alignment horizontal="left" vertical="center"/>
    </xf>
    <xf numFmtId="0" fontId="21" fillId="0" borderId="12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left" vertical="center"/>
    </xf>
    <xf numFmtId="0" fontId="2" fillId="10" borderId="11" xfId="0" applyFont="1" applyFill="1" applyBorder="1" applyAlignment="1" applyProtection="1">
      <alignment horizontal="center" vertical="center"/>
    </xf>
    <xf numFmtId="0" fontId="2" fillId="10" borderId="12" xfId="0" applyFont="1" applyFill="1" applyBorder="1" applyAlignment="1" applyProtection="1">
      <alignment horizontal="center" vertical="center"/>
    </xf>
    <xf numFmtId="0" fontId="22" fillId="10" borderId="5" xfId="0" applyFont="1" applyFill="1" applyBorder="1" applyAlignment="1" applyProtection="1">
      <alignment horizontal="center" vertical="center"/>
    </xf>
    <xf numFmtId="0" fontId="22" fillId="10" borderId="1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left" vertical="center"/>
    </xf>
    <xf numFmtId="0" fontId="16" fillId="0" borderId="1" xfId="2" applyFont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49" fontId="16" fillId="4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/>
    <xf numFmtId="0" fontId="24" fillId="0" borderId="1" xfId="2" applyFont="1" applyFill="1" applyBorder="1" applyAlignment="1" applyProtection="1">
      <alignment horizontal="left" vertical="center"/>
    </xf>
    <xf numFmtId="49" fontId="16" fillId="4" borderId="11" xfId="0" applyNumberFormat="1" applyFont="1" applyFill="1" applyBorder="1" applyAlignment="1" applyProtection="1">
      <alignment horizontal="left" vertical="center" wrapText="1"/>
    </xf>
    <xf numFmtId="49" fontId="16" fillId="4" borderId="12" xfId="0" applyNumberFormat="1" applyFont="1" applyFill="1" applyBorder="1" applyAlignment="1" applyProtection="1">
      <alignment horizontal="left" vertical="center" wrapText="1"/>
    </xf>
    <xf numFmtId="49" fontId="16" fillId="4" borderId="8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16" fillId="0" borderId="1" xfId="0" applyFont="1" applyBorder="1" applyAlignment="1" applyProtection="1">
      <alignment vertical="center"/>
    </xf>
    <xf numFmtId="0" fontId="24" fillId="0" borderId="1" xfId="2" applyFont="1" applyBorder="1" applyAlignment="1" applyProtection="1">
      <alignment horizontal="left" vertical="center"/>
    </xf>
    <xf numFmtId="49" fontId="14" fillId="3" borderId="3" xfId="0" applyNumberFormat="1" applyFont="1" applyFill="1" applyBorder="1" applyAlignment="1" applyProtection="1">
      <alignment horizontal="left" vertical="center" wrapText="1"/>
    </xf>
    <xf numFmtId="49" fontId="0" fillId="4" borderId="0" xfId="0" applyNumberFormat="1" applyFont="1" applyFill="1" applyBorder="1" applyAlignment="1" applyProtection="1">
      <alignment vertical="center"/>
    </xf>
    <xf numFmtId="49" fontId="27" fillId="4" borderId="0" xfId="0" applyNumberFormat="1" applyFont="1" applyFill="1" applyBorder="1" applyAlignment="1" applyProtection="1">
      <alignment horizontal="right" vertical="center"/>
    </xf>
    <xf numFmtId="49" fontId="27" fillId="4" borderId="0" xfId="0" applyNumberFormat="1" applyFont="1" applyFill="1" applyAlignment="1" applyProtection="1">
      <alignment vertical="center"/>
    </xf>
    <xf numFmtId="49" fontId="27" fillId="4" borderId="0" xfId="0" applyNumberFormat="1" applyFont="1" applyFill="1" applyAlignment="1" applyProtection="1">
      <alignment horizontal="center" vertical="center"/>
    </xf>
    <xf numFmtId="49" fontId="28" fillId="4" borderId="5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29" fillId="0" borderId="6" xfId="0" applyNumberFormat="1" applyFont="1" applyFill="1" applyBorder="1" applyAlignment="1" applyProtection="1">
      <alignment horizontal="center" vertical="center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</cellXfs>
  <cellStyles count="5">
    <cellStyle name="Comma 2" xfId="3"/>
    <cellStyle name="Currency" xfId="1" builtinId="4"/>
    <cellStyle name="Hyperlink" xfId="2" builtinId="8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0</xdr:row>
          <xdr:rowOff>171450</xdr:rowOff>
        </xdr:from>
        <xdr:to>
          <xdr:col>2</xdr:col>
          <xdr:colOff>3076575</xdr:colOff>
          <xdr:row>4</xdr:row>
          <xdr:rowOff>228600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3149600</xdr:colOff>
      <xdr:row>0</xdr:row>
      <xdr:rowOff>176546</xdr:rowOff>
    </xdr:from>
    <xdr:to>
      <xdr:col>3</xdr:col>
      <xdr:colOff>416156</xdr:colOff>
      <xdr:row>4</xdr:row>
      <xdr:rowOff>158897</xdr:rowOff>
    </xdr:to>
    <xdr:pic>
      <xdr:nvPicPr>
        <xdr:cNvPr id="3" name="Picture 2" descr="new redpack logo - medi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275" y="176546"/>
          <a:ext cx="2429106" cy="121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0</xdr:row>
          <xdr:rowOff>171450</xdr:rowOff>
        </xdr:from>
        <xdr:to>
          <xdr:col>2</xdr:col>
          <xdr:colOff>3076575</xdr:colOff>
          <xdr:row>4</xdr:row>
          <xdr:rowOff>228600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3149600</xdr:colOff>
      <xdr:row>0</xdr:row>
      <xdr:rowOff>176546</xdr:rowOff>
    </xdr:from>
    <xdr:to>
      <xdr:col>3</xdr:col>
      <xdr:colOff>416156</xdr:colOff>
      <xdr:row>4</xdr:row>
      <xdr:rowOff>158897</xdr:rowOff>
    </xdr:to>
    <xdr:pic>
      <xdr:nvPicPr>
        <xdr:cNvPr id="3" name="Picture 2" descr="new redpack logo - medi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275" y="176546"/>
          <a:ext cx="2429106" cy="120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0</xdr:row>
          <xdr:rowOff>171450</xdr:rowOff>
        </xdr:from>
        <xdr:to>
          <xdr:col>2</xdr:col>
          <xdr:colOff>3076575</xdr:colOff>
          <xdr:row>4</xdr:row>
          <xdr:rowOff>228600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3149600</xdr:colOff>
      <xdr:row>0</xdr:row>
      <xdr:rowOff>176546</xdr:rowOff>
    </xdr:from>
    <xdr:to>
      <xdr:col>3</xdr:col>
      <xdr:colOff>416156</xdr:colOff>
      <xdr:row>4</xdr:row>
      <xdr:rowOff>158897</xdr:rowOff>
    </xdr:to>
    <xdr:pic>
      <xdr:nvPicPr>
        <xdr:cNvPr id="3" name="Picture 2" descr="new redpack logo - medi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275" y="176546"/>
          <a:ext cx="2429106" cy="121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dsaverino@redgold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chaffin@redgold.com" TargetMode="External"/><Relationship Id="rId1" Type="http://schemas.openxmlformats.org/officeDocument/2006/relationships/hyperlink" Target="mailto:messner@redgold.com" TargetMode="External"/><Relationship Id="rId6" Type="http://schemas.openxmlformats.org/officeDocument/2006/relationships/hyperlink" Target="mailto:jbatten@redgold.com" TargetMode="External"/><Relationship Id="rId11" Type="http://schemas.openxmlformats.org/officeDocument/2006/relationships/image" Target="../media/image1.emf"/><Relationship Id="rId5" Type="http://schemas.openxmlformats.org/officeDocument/2006/relationships/hyperlink" Target="mailto:tholmes@redgold.com" TargetMode="External"/><Relationship Id="rId10" Type="http://schemas.openxmlformats.org/officeDocument/2006/relationships/oleObject" Target="../embeddings/oleObject1.bin"/><Relationship Id="rId4" Type="http://schemas.openxmlformats.org/officeDocument/2006/relationships/hyperlink" Target="mailto:jchaffin@redgold.com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dsaverino@redgold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chaffin@redgold.com" TargetMode="External"/><Relationship Id="rId1" Type="http://schemas.openxmlformats.org/officeDocument/2006/relationships/hyperlink" Target="mailto:messner@redgold.com" TargetMode="External"/><Relationship Id="rId6" Type="http://schemas.openxmlformats.org/officeDocument/2006/relationships/hyperlink" Target="mailto:jbatten@redgold.com" TargetMode="External"/><Relationship Id="rId11" Type="http://schemas.openxmlformats.org/officeDocument/2006/relationships/image" Target="../media/image1.emf"/><Relationship Id="rId5" Type="http://schemas.openxmlformats.org/officeDocument/2006/relationships/hyperlink" Target="mailto:tholmes@redgold.com" TargetMode="External"/><Relationship Id="rId10" Type="http://schemas.openxmlformats.org/officeDocument/2006/relationships/oleObject" Target="../embeddings/oleObject2.bin"/><Relationship Id="rId4" Type="http://schemas.openxmlformats.org/officeDocument/2006/relationships/hyperlink" Target="mailto:jchaffin@redgold.com" TargetMode="External"/><Relationship Id="rId9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dsaverino@redgold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jchaffin@redgold.com" TargetMode="External"/><Relationship Id="rId1" Type="http://schemas.openxmlformats.org/officeDocument/2006/relationships/hyperlink" Target="mailto:messner@redgold.com" TargetMode="External"/><Relationship Id="rId6" Type="http://schemas.openxmlformats.org/officeDocument/2006/relationships/hyperlink" Target="mailto:jbatten@redgold.com" TargetMode="External"/><Relationship Id="rId11" Type="http://schemas.openxmlformats.org/officeDocument/2006/relationships/image" Target="../media/image1.emf"/><Relationship Id="rId5" Type="http://schemas.openxmlformats.org/officeDocument/2006/relationships/hyperlink" Target="mailto:tholmes@redgold.com" TargetMode="External"/><Relationship Id="rId10" Type="http://schemas.openxmlformats.org/officeDocument/2006/relationships/oleObject" Target="../embeddings/oleObject3.bin"/><Relationship Id="rId4" Type="http://schemas.openxmlformats.org/officeDocument/2006/relationships/hyperlink" Target="mailto:jchaffin@redgold.com" TargetMode="External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D73"/>
  <sheetViews>
    <sheetView topLeftCell="A10" zoomScale="70" zoomScaleNormal="70" workbookViewId="0">
      <selection activeCell="C43" sqref="C43"/>
    </sheetView>
  </sheetViews>
  <sheetFormatPr defaultRowHeight="12.75" x14ac:dyDescent="0.2"/>
  <cols>
    <col min="1" max="1" width="21" style="11" customWidth="1"/>
    <col min="2" max="2" width="14.28515625" style="11" customWidth="1"/>
    <col min="3" max="3" width="77.42578125" style="11" customWidth="1"/>
    <col min="4" max="4" width="14.140625" style="11" customWidth="1"/>
    <col min="5" max="5" width="8.140625" style="11" customWidth="1"/>
    <col min="6" max="6" width="7.42578125" style="11" customWidth="1"/>
    <col min="7" max="7" width="7.7109375" style="11" customWidth="1"/>
    <col min="8" max="8" width="8" style="11" customWidth="1"/>
    <col min="9" max="9" width="6.42578125" style="11" customWidth="1"/>
    <col min="10" max="10" width="19.42578125" style="11" customWidth="1"/>
    <col min="11" max="11" width="10.7109375" style="11" customWidth="1"/>
    <col min="12" max="12" width="11.42578125" style="11" customWidth="1"/>
    <col min="13" max="13" width="11.85546875" style="11" customWidth="1"/>
    <col min="14" max="14" width="13.140625" style="11" customWidth="1"/>
    <col min="15" max="15" width="9.42578125" style="11" customWidth="1"/>
    <col min="16" max="16" width="10" style="11" customWidth="1"/>
    <col min="17" max="17" width="10.42578125" style="11" customWidth="1"/>
    <col min="18" max="18" width="9.140625" style="119"/>
    <col min="19" max="19" width="12.140625" style="119" customWidth="1"/>
    <col min="20" max="20" width="10.7109375" style="119" customWidth="1"/>
    <col min="21" max="21" width="10.5703125" style="119" customWidth="1"/>
    <col min="22" max="22" width="11.42578125" style="119" customWidth="1"/>
    <col min="23" max="23" width="10.140625" style="11" customWidth="1"/>
    <col min="24" max="27" width="9.140625" style="11"/>
    <col min="28" max="28" width="9.140625" style="11" hidden="1" customWidth="1"/>
    <col min="29" max="31" width="9.7109375" style="11" hidden="1" customWidth="1"/>
    <col min="32" max="33" width="10.140625" style="11" hidden="1" customWidth="1"/>
    <col min="34" max="34" width="13.140625" style="11" hidden="1" customWidth="1"/>
    <col min="35" max="38" width="10.140625" style="11" hidden="1" customWidth="1"/>
    <col min="39" max="39" width="9.5703125" style="11" hidden="1" customWidth="1"/>
    <col min="40" max="40" width="9.7109375" style="11" hidden="1" customWidth="1"/>
    <col min="41" max="42" width="10.5703125" style="11" hidden="1" customWidth="1"/>
    <col min="43" max="43" width="10.140625" style="11" hidden="1" customWidth="1"/>
    <col min="44" max="44" width="9.7109375" style="11" hidden="1" customWidth="1"/>
    <col min="45" max="45" width="10.140625" style="11" hidden="1" customWidth="1"/>
    <col min="46" max="46" width="14" style="11" hidden="1" customWidth="1"/>
    <col min="47" max="47" width="14.5703125" style="11" hidden="1" customWidth="1"/>
    <col min="48" max="48" width="14.28515625" style="11" hidden="1" customWidth="1"/>
    <col min="49" max="49" width="14.85546875" style="11" hidden="1" customWidth="1"/>
    <col min="50" max="51" width="10.140625" style="11" hidden="1" customWidth="1"/>
    <col min="52" max="52" width="13.7109375" style="11" hidden="1" customWidth="1"/>
    <col min="53" max="53" width="14.42578125" style="11" hidden="1" customWidth="1"/>
    <col min="54" max="55" width="9.7109375" style="11" hidden="1" customWidth="1"/>
    <col min="56" max="56" width="10" style="11" hidden="1" customWidth="1"/>
    <col min="57" max="57" width="9.85546875" style="11" hidden="1" customWidth="1"/>
    <col min="58" max="58" width="10.42578125" style="11" hidden="1" customWidth="1"/>
    <col min="59" max="59" width="10.5703125" style="11" hidden="1" customWidth="1"/>
    <col min="60" max="61" width="10.28515625" style="11" hidden="1" customWidth="1"/>
    <col min="62" max="63" width="9.140625" style="11" hidden="1" customWidth="1"/>
    <col min="64" max="64" width="9.28515625" style="11" hidden="1" customWidth="1"/>
    <col min="65" max="65" width="9.7109375" style="11" hidden="1" customWidth="1"/>
    <col min="66" max="69" width="10.28515625" style="11" hidden="1" customWidth="1"/>
    <col min="70" max="70" width="14.28515625" style="11" hidden="1" customWidth="1"/>
    <col min="71" max="74" width="10" style="11" hidden="1" customWidth="1"/>
    <col min="75" max="76" width="9.140625" style="11" hidden="1" customWidth="1"/>
    <col min="77" max="77" width="12.28515625" style="11" hidden="1" customWidth="1"/>
    <col min="78" max="78" width="14.28515625" style="11" hidden="1" customWidth="1"/>
    <col min="79" max="79" width="19.7109375" style="11" hidden="1" customWidth="1"/>
    <col min="80" max="80" width="11.5703125" style="11" hidden="1" customWidth="1"/>
    <col min="81" max="81" width="15.42578125" style="11" hidden="1" customWidth="1"/>
    <col min="82" max="82" width="22.28515625" style="11" hidden="1" customWidth="1"/>
    <col min="83" max="83" width="9.140625" style="11" customWidth="1"/>
    <col min="84" max="16384" width="9.140625" style="11"/>
  </cols>
  <sheetData>
    <row r="1" spans="1:82" ht="15" customHeight="1" x14ac:dyDescent="0.2">
      <c r="A1" s="1" t="s">
        <v>0</v>
      </c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6"/>
      <c r="P1" s="6"/>
      <c r="Q1" s="7"/>
      <c r="R1" s="8"/>
      <c r="S1" s="8"/>
      <c r="T1" s="8"/>
      <c r="U1" s="8"/>
      <c r="V1" s="9"/>
      <c r="W1" s="10"/>
      <c r="AC1" s="11" t="s">
        <v>1</v>
      </c>
      <c r="AD1" s="11" t="s">
        <v>2</v>
      </c>
      <c r="AE1" s="11" t="s">
        <v>3</v>
      </c>
      <c r="AF1" s="11" t="s">
        <v>4</v>
      </c>
      <c r="AG1" s="11" t="s">
        <v>5</v>
      </c>
      <c r="AH1" s="11" t="s">
        <v>6</v>
      </c>
      <c r="AI1" s="11" t="s">
        <v>7</v>
      </c>
      <c r="AJ1" s="11" t="s">
        <v>8</v>
      </c>
      <c r="AK1" s="11" t="s">
        <v>11</v>
      </c>
      <c r="AL1" s="11" t="s">
        <v>12</v>
      </c>
      <c r="AM1" s="11" t="s">
        <v>13</v>
      </c>
      <c r="AN1" s="11" t="s">
        <v>14</v>
      </c>
      <c r="AO1" s="11" t="s">
        <v>142</v>
      </c>
      <c r="AP1" s="11" t="s">
        <v>147</v>
      </c>
      <c r="AQ1" s="11" t="s">
        <v>20</v>
      </c>
      <c r="AR1" s="11" t="s">
        <v>21</v>
      </c>
      <c r="AS1" s="11" t="s">
        <v>17</v>
      </c>
      <c r="AT1" s="11" t="s">
        <v>15</v>
      </c>
      <c r="AU1" s="11" t="s">
        <v>16</v>
      </c>
      <c r="AV1" s="11" t="s">
        <v>18</v>
      </c>
      <c r="AW1" s="11" t="s">
        <v>19</v>
      </c>
      <c r="AX1" s="11" t="s">
        <v>9</v>
      </c>
      <c r="AY1" s="11" t="s">
        <v>10</v>
      </c>
      <c r="AZ1" s="11" t="s">
        <v>173</v>
      </c>
      <c r="BA1" s="11" t="s">
        <v>175</v>
      </c>
      <c r="BB1" s="11" t="s">
        <v>276</v>
      </c>
      <c r="BD1" s="11" t="s">
        <v>22</v>
      </c>
      <c r="BE1" s="11" t="s">
        <v>23</v>
      </c>
      <c r="BF1" s="11" t="s">
        <v>24</v>
      </c>
      <c r="BG1" s="11" t="s">
        <v>25</v>
      </c>
      <c r="BH1" s="11" t="s">
        <v>26</v>
      </c>
      <c r="BI1" s="11" t="s">
        <v>27</v>
      </c>
      <c r="BJ1" s="11" t="s">
        <v>28</v>
      </c>
      <c r="BK1" s="11" t="s">
        <v>29</v>
      </c>
      <c r="BL1" s="11" t="s">
        <v>30</v>
      </c>
      <c r="BM1" s="11" t="s">
        <v>31</v>
      </c>
      <c r="BN1" s="11" t="s">
        <v>32</v>
      </c>
      <c r="BO1" s="11" t="s">
        <v>33</v>
      </c>
      <c r="BP1" s="11" t="s">
        <v>34</v>
      </c>
      <c r="BQ1" s="11" t="s">
        <v>35</v>
      </c>
      <c r="BR1" s="11" t="s">
        <v>36</v>
      </c>
      <c r="BS1" s="11" t="s">
        <v>37</v>
      </c>
      <c r="BT1" s="11" t="s">
        <v>217</v>
      </c>
      <c r="BU1" s="11" t="s">
        <v>222</v>
      </c>
      <c r="BV1" s="11" t="s">
        <v>224</v>
      </c>
      <c r="BY1" s="11" t="s">
        <v>38</v>
      </c>
      <c r="BZ1" s="11" t="s">
        <v>277</v>
      </c>
      <c r="CA1" s="11" t="s">
        <v>39</v>
      </c>
      <c r="CB1" s="11" t="s">
        <v>277</v>
      </c>
      <c r="CC1" s="11" t="s">
        <v>277</v>
      </c>
      <c r="CD1" s="11" t="s">
        <v>277</v>
      </c>
    </row>
    <row r="2" spans="1:82" ht="36" customHeight="1" x14ac:dyDescent="0.2">
      <c r="A2" s="12" t="s">
        <v>40</v>
      </c>
      <c r="B2" s="141" t="s">
        <v>268</v>
      </c>
      <c r="C2" s="3"/>
      <c r="D2" s="5"/>
      <c r="E2" s="5"/>
      <c r="F2" s="5"/>
      <c r="G2" s="5"/>
      <c r="H2" s="5"/>
      <c r="I2" s="5"/>
      <c r="J2" s="14"/>
      <c r="K2" s="5"/>
      <c r="L2" s="5"/>
      <c r="M2" s="5"/>
      <c r="N2" s="5"/>
      <c r="O2" s="6"/>
      <c r="P2" s="6"/>
      <c r="Q2" s="7"/>
      <c r="R2" s="8"/>
      <c r="S2" s="8"/>
      <c r="T2" s="8"/>
      <c r="U2" s="8"/>
      <c r="V2" s="9"/>
      <c r="W2" s="10"/>
      <c r="AB2" s="15" t="s">
        <v>41</v>
      </c>
      <c r="AC2" s="16">
        <v>0.51</v>
      </c>
      <c r="AD2" s="16">
        <v>0.51</v>
      </c>
      <c r="AE2" s="16">
        <v>0.51</v>
      </c>
      <c r="AF2" s="16">
        <v>0.26</v>
      </c>
      <c r="AG2" s="16">
        <v>0.51</v>
      </c>
      <c r="AH2" s="16">
        <v>0.26</v>
      </c>
      <c r="AI2" s="16">
        <v>0.51</v>
      </c>
      <c r="AJ2" s="16">
        <v>0.51</v>
      </c>
      <c r="AK2" s="16">
        <v>0.26</v>
      </c>
      <c r="AL2" s="16">
        <v>0.51</v>
      </c>
      <c r="AM2" s="16">
        <v>0.26</v>
      </c>
      <c r="AN2" s="16">
        <v>0.26</v>
      </c>
      <c r="AO2" s="16">
        <v>0.26</v>
      </c>
      <c r="AP2" s="16">
        <v>0.26</v>
      </c>
      <c r="AQ2" s="16">
        <v>0.26</v>
      </c>
      <c r="AR2" s="16">
        <v>0.26</v>
      </c>
      <c r="AS2" s="16">
        <v>0.26</v>
      </c>
      <c r="AT2" s="16">
        <v>0.26</v>
      </c>
      <c r="AU2" s="16">
        <v>0.51</v>
      </c>
      <c r="AV2" s="16">
        <v>0.26</v>
      </c>
      <c r="AW2" s="16">
        <v>0.26</v>
      </c>
      <c r="AX2" s="16">
        <v>0.26</v>
      </c>
      <c r="AY2" s="16">
        <v>0.51</v>
      </c>
      <c r="AZ2" s="16">
        <v>0.51</v>
      </c>
      <c r="BA2" s="16">
        <v>0.26</v>
      </c>
      <c r="BB2" s="16">
        <v>0.26</v>
      </c>
      <c r="BD2" s="16">
        <v>0.26</v>
      </c>
      <c r="BE2" s="16">
        <v>0.26</v>
      </c>
      <c r="BF2" s="16">
        <v>0.51</v>
      </c>
      <c r="BG2" s="16">
        <v>0.26</v>
      </c>
      <c r="BH2" s="16">
        <v>0.51</v>
      </c>
      <c r="BI2" s="16">
        <v>0.26</v>
      </c>
      <c r="BJ2" s="16">
        <v>0.51</v>
      </c>
      <c r="BK2" s="16">
        <v>0.26</v>
      </c>
      <c r="BL2" s="16">
        <v>0.26</v>
      </c>
      <c r="BM2" s="16">
        <v>0.51</v>
      </c>
      <c r="BN2" s="16">
        <v>0.26</v>
      </c>
      <c r="BO2" s="16">
        <v>0.26</v>
      </c>
      <c r="BP2" s="16">
        <v>0.26</v>
      </c>
      <c r="BQ2" s="16">
        <v>0.26</v>
      </c>
      <c r="BR2" s="16">
        <v>0.26</v>
      </c>
      <c r="BS2" s="16">
        <v>0.26</v>
      </c>
      <c r="BT2" s="16">
        <v>0.51</v>
      </c>
      <c r="BU2" s="16">
        <v>0.26</v>
      </c>
      <c r="BV2" s="16">
        <v>0.26</v>
      </c>
      <c r="BW2" s="11" t="s">
        <v>42</v>
      </c>
      <c r="BX2" s="15" t="s">
        <v>43</v>
      </c>
      <c r="BZ2" s="11" t="s">
        <v>278</v>
      </c>
      <c r="CA2" s="11" t="s">
        <v>280</v>
      </c>
      <c r="CB2" s="11" t="s">
        <v>279</v>
      </c>
      <c r="CC2" s="11" t="s">
        <v>281</v>
      </c>
      <c r="CD2" s="17" t="s">
        <v>282</v>
      </c>
    </row>
    <row r="3" spans="1:82" ht="26.25" x14ac:dyDescent="0.2">
      <c r="A3" s="18" t="s">
        <v>44</v>
      </c>
      <c r="B3" s="19"/>
      <c r="C3" s="3"/>
      <c r="D3" s="5"/>
      <c r="E3" s="164" t="s">
        <v>263</v>
      </c>
      <c r="F3" s="164"/>
      <c r="G3" s="164"/>
      <c r="H3" s="164"/>
      <c r="I3" s="164"/>
      <c r="J3" s="164"/>
      <c r="K3" s="164"/>
      <c r="L3" s="164"/>
      <c r="M3" s="20"/>
      <c r="N3" s="21"/>
      <c r="O3" s="6"/>
      <c r="P3" s="6"/>
      <c r="Q3" s="7"/>
      <c r="R3" s="8"/>
      <c r="S3" s="8"/>
      <c r="T3" s="8"/>
      <c r="U3" s="8"/>
      <c r="V3" s="9"/>
      <c r="W3" s="10"/>
      <c r="AB3" s="15" t="s">
        <v>45</v>
      </c>
      <c r="AC3" s="16">
        <v>16.89</v>
      </c>
      <c r="AD3" s="16">
        <v>19.190000000000001</v>
      </c>
      <c r="AE3" s="16">
        <v>16.54</v>
      </c>
      <c r="AF3" s="16">
        <v>20.99</v>
      </c>
      <c r="AG3" s="16">
        <v>17.989999999999998</v>
      </c>
      <c r="AH3" s="16">
        <v>12.99</v>
      </c>
      <c r="AI3" s="16">
        <v>14.39</v>
      </c>
      <c r="AJ3" s="16">
        <v>16.14</v>
      </c>
      <c r="AK3" s="16">
        <v>13.14</v>
      </c>
      <c r="AL3" s="16">
        <v>14.64</v>
      </c>
      <c r="AM3" s="16">
        <v>18.34</v>
      </c>
      <c r="AN3" s="16">
        <v>19.09</v>
      </c>
      <c r="AO3" s="16">
        <v>18.239999999999998</v>
      </c>
      <c r="AP3" s="16">
        <v>19.690000000000001</v>
      </c>
      <c r="AQ3" s="16">
        <v>20.84</v>
      </c>
      <c r="AR3" s="16">
        <v>23.64</v>
      </c>
      <c r="AS3" s="16">
        <v>23.04</v>
      </c>
      <c r="AT3" s="16">
        <v>25.44</v>
      </c>
      <c r="AU3" s="16">
        <v>49.19</v>
      </c>
      <c r="AV3" s="16">
        <v>19.489999999999998</v>
      </c>
      <c r="AW3" s="16">
        <v>37.49</v>
      </c>
      <c r="AX3" s="16">
        <v>14.19</v>
      </c>
      <c r="AY3" s="16">
        <v>15.64</v>
      </c>
      <c r="AZ3" s="16">
        <v>14.19</v>
      </c>
      <c r="BA3" s="16">
        <v>21.69</v>
      </c>
      <c r="BB3" s="16">
        <v>21.69</v>
      </c>
      <c r="BD3" s="16">
        <v>23.54</v>
      </c>
      <c r="BE3" s="16">
        <v>21.29</v>
      </c>
      <c r="BF3" s="16">
        <v>22.44</v>
      </c>
      <c r="BG3" s="16">
        <v>20.84</v>
      </c>
      <c r="BH3" s="16">
        <v>24.34</v>
      </c>
      <c r="BI3" s="16">
        <v>22.59</v>
      </c>
      <c r="BJ3" s="16">
        <v>23.89</v>
      </c>
      <c r="BK3" s="16">
        <v>21.89</v>
      </c>
      <c r="BL3" s="16">
        <v>17.14</v>
      </c>
      <c r="BM3" s="16">
        <v>20.14</v>
      </c>
      <c r="BN3" s="16">
        <v>16.989999999999998</v>
      </c>
      <c r="BO3" s="16">
        <v>28.04</v>
      </c>
      <c r="BP3" s="16">
        <v>15.54</v>
      </c>
      <c r="BQ3" s="16">
        <v>18.29</v>
      </c>
      <c r="BR3" s="16">
        <v>10.039999999999999</v>
      </c>
      <c r="BS3" s="16">
        <v>13.89</v>
      </c>
      <c r="BT3" s="16">
        <v>17.09</v>
      </c>
      <c r="BU3" s="16">
        <v>14.64</v>
      </c>
      <c r="BV3" s="16">
        <v>16.940000000000001</v>
      </c>
      <c r="BW3" s="15" t="s">
        <v>43</v>
      </c>
      <c r="BX3" s="11" t="s">
        <v>42</v>
      </c>
      <c r="BZ3" s="11" t="s">
        <v>46</v>
      </c>
      <c r="CA3" s="15" t="s">
        <v>47</v>
      </c>
      <c r="CB3" s="11" t="s">
        <v>48</v>
      </c>
      <c r="CC3" s="11" t="s">
        <v>49</v>
      </c>
      <c r="CD3" s="17" t="s">
        <v>50</v>
      </c>
    </row>
    <row r="4" spans="1:82" ht="19.5" customHeight="1" x14ac:dyDescent="0.2">
      <c r="A4" s="12" t="s">
        <v>51</v>
      </c>
      <c r="B4" s="19" t="s">
        <v>262</v>
      </c>
      <c r="C4" s="3"/>
      <c r="D4" s="5"/>
      <c r="E4" s="164"/>
      <c r="F4" s="164"/>
      <c r="G4" s="164"/>
      <c r="H4" s="164"/>
      <c r="I4" s="164"/>
      <c r="J4" s="164"/>
      <c r="K4" s="164"/>
      <c r="L4" s="164"/>
      <c r="M4" s="20"/>
      <c r="N4" s="21"/>
      <c r="O4" s="6"/>
      <c r="P4" s="6"/>
      <c r="Q4" s="7"/>
      <c r="R4" s="8"/>
      <c r="S4" s="8"/>
      <c r="T4" s="8"/>
      <c r="U4" s="8"/>
      <c r="V4" s="9"/>
      <c r="W4" s="10"/>
      <c r="AB4" s="15" t="s">
        <v>52</v>
      </c>
      <c r="AC4" s="16">
        <v>16.89</v>
      </c>
      <c r="AD4" s="16">
        <v>19.190000000000001</v>
      </c>
      <c r="AE4" s="16">
        <v>16.54</v>
      </c>
      <c r="AF4" s="16">
        <v>20.99</v>
      </c>
      <c r="AG4" s="16">
        <v>17.989999999999998</v>
      </c>
      <c r="AH4" s="16">
        <v>12.99</v>
      </c>
      <c r="AI4" s="16">
        <v>14.39</v>
      </c>
      <c r="AJ4" s="16">
        <v>16.14</v>
      </c>
      <c r="AK4" s="16">
        <v>13.14</v>
      </c>
      <c r="AL4" s="16">
        <v>14.64</v>
      </c>
      <c r="AM4" s="16">
        <v>18.34</v>
      </c>
      <c r="AN4" s="16">
        <v>19.09</v>
      </c>
      <c r="AO4" s="16">
        <v>18.239999999999998</v>
      </c>
      <c r="AP4" s="16">
        <v>19.690000000000001</v>
      </c>
      <c r="AQ4" s="16">
        <v>20.84</v>
      </c>
      <c r="AR4" s="16">
        <v>23.64</v>
      </c>
      <c r="AS4" s="16">
        <v>23.04</v>
      </c>
      <c r="AT4" s="16">
        <v>25.44</v>
      </c>
      <c r="AU4" s="16">
        <v>49.19</v>
      </c>
      <c r="AV4" s="16">
        <v>19.489999999999998</v>
      </c>
      <c r="AW4" s="16">
        <v>37.49</v>
      </c>
      <c r="AX4" s="16">
        <v>14.19</v>
      </c>
      <c r="AY4" s="16">
        <v>15.64</v>
      </c>
      <c r="AZ4" s="16">
        <v>14.19</v>
      </c>
      <c r="BA4" s="16">
        <v>21.69</v>
      </c>
      <c r="BB4" s="16">
        <v>21.69</v>
      </c>
      <c r="BD4" s="16">
        <v>23.54</v>
      </c>
      <c r="BE4" s="16">
        <v>21.29</v>
      </c>
      <c r="BF4" s="16">
        <v>22.44</v>
      </c>
      <c r="BG4" s="16">
        <v>20.84</v>
      </c>
      <c r="BH4" s="16">
        <v>24.34</v>
      </c>
      <c r="BI4" s="16">
        <v>22.59</v>
      </c>
      <c r="BJ4" s="16">
        <v>23.89</v>
      </c>
      <c r="BK4" s="16">
        <v>21.89</v>
      </c>
      <c r="BL4" s="16">
        <v>17.14</v>
      </c>
      <c r="BM4" s="16">
        <v>20.14</v>
      </c>
      <c r="BN4" s="16">
        <v>16.989999999999998</v>
      </c>
      <c r="BO4" s="16">
        <v>28.04</v>
      </c>
      <c r="BP4" s="16">
        <v>15.54</v>
      </c>
      <c r="BQ4" s="16">
        <v>18.29</v>
      </c>
      <c r="BR4" s="16">
        <v>10.039999999999999</v>
      </c>
      <c r="BS4" s="16">
        <v>13.89</v>
      </c>
      <c r="BT4" s="16">
        <v>17.09</v>
      </c>
      <c r="BU4" s="16">
        <v>14.64</v>
      </c>
      <c r="BV4" s="16">
        <v>16.940000000000001</v>
      </c>
      <c r="BW4" s="15" t="s">
        <v>43</v>
      </c>
      <c r="BX4" s="11" t="s">
        <v>42</v>
      </c>
      <c r="CA4" s="15"/>
      <c r="CD4" s="17"/>
    </row>
    <row r="5" spans="1:82" ht="26.25" x14ac:dyDescent="0.2">
      <c r="A5" s="18" t="s">
        <v>53</v>
      </c>
      <c r="B5" s="19"/>
      <c r="C5" s="3"/>
      <c r="D5" s="5"/>
      <c r="E5" s="164"/>
      <c r="F5" s="164"/>
      <c r="G5" s="164"/>
      <c r="H5" s="164"/>
      <c r="I5" s="164"/>
      <c r="J5" s="164"/>
      <c r="K5" s="164"/>
      <c r="L5" s="164"/>
      <c r="M5" s="20"/>
      <c r="N5" s="21"/>
      <c r="O5" s="6"/>
      <c r="P5" s="6"/>
      <c r="Q5" s="7"/>
      <c r="R5" s="8"/>
      <c r="S5" s="8"/>
      <c r="T5" s="8"/>
      <c r="U5" s="8"/>
      <c r="V5" s="9"/>
      <c r="W5" s="10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CA5" s="15"/>
      <c r="CD5" s="17"/>
    </row>
    <row r="6" spans="1:82" ht="17.25" customHeight="1" thickBot="1" x14ac:dyDescent="0.25">
      <c r="A6" s="22" t="s">
        <v>54</v>
      </c>
      <c r="B6" s="13"/>
      <c r="C6" s="23"/>
      <c r="D6" s="5"/>
      <c r="E6" s="164"/>
      <c r="F6" s="164"/>
      <c r="G6" s="164"/>
      <c r="H6" s="164"/>
      <c r="I6" s="164"/>
      <c r="J6" s="164"/>
      <c r="K6" s="164"/>
      <c r="L6" s="164"/>
      <c r="M6" s="5"/>
      <c r="N6" s="5"/>
      <c r="O6" s="6"/>
      <c r="P6" s="6"/>
      <c r="Q6" s="7"/>
      <c r="R6" s="8"/>
      <c r="S6" s="8"/>
      <c r="T6" s="8"/>
      <c r="U6" s="8"/>
      <c r="V6" s="9"/>
      <c r="W6" s="10"/>
      <c r="BZ6" s="15" t="s">
        <v>55</v>
      </c>
      <c r="CA6" s="15" t="s">
        <v>56</v>
      </c>
      <c r="CB6" s="15" t="s">
        <v>57</v>
      </c>
      <c r="CC6" s="15" t="s">
        <v>58</v>
      </c>
      <c r="CD6" s="17" t="s">
        <v>59</v>
      </c>
    </row>
    <row r="7" spans="1:82" ht="24.75" customHeight="1" thickBot="1" x14ac:dyDescent="0.25">
      <c r="A7" s="22" t="s">
        <v>60</v>
      </c>
      <c r="B7" s="13"/>
      <c r="C7" s="24"/>
      <c r="D7" s="25"/>
      <c r="E7" s="165" t="s">
        <v>61</v>
      </c>
      <c r="F7" s="166"/>
      <c r="G7" s="166"/>
      <c r="H7" s="166"/>
      <c r="I7" s="167">
        <v>42552</v>
      </c>
      <c r="J7" s="168"/>
      <c r="K7" s="168"/>
      <c r="L7" s="26"/>
      <c r="M7" s="5"/>
      <c r="N7" s="5"/>
      <c r="O7" s="169" t="s">
        <v>62</v>
      </c>
      <c r="P7" s="169"/>
      <c r="Q7" s="169"/>
      <c r="R7" s="170" t="s">
        <v>41</v>
      </c>
      <c r="S7" s="171"/>
      <c r="T7" s="162" t="s">
        <v>63</v>
      </c>
      <c r="U7" s="163"/>
      <c r="V7" s="163"/>
      <c r="W7" s="10"/>
    </row>
    <row r="8" spans="1:82" ht="33.75" customHeight="1" x14ac:dyDescent="0.2">
      <c r="A8" s="27"/>
      <c r="B8" s="28"/>
      <c r="C8" s="172" t="s">
        <v>286</v>
      </c>
      <c r="D8" s="173"/>
      <c r="E8" s="174" t="s">
        <v>64</v>
      </c>
      <c r="F8" s="175"/>
      <c r="G8" s="175"/>
      <c r="H8" s="175"/>
      <c r="I8" s="176">
        <v>42916</v>
      </c>
      <c r="J8" s="177"/>
      <c r="K8" s="177"/>
      <c r="L8" s="29"/>
      <c r="M8" s="178" t="s">
        <v>288</v>
      </c>
      <c r="N8" s="178"/>
      <c r="O8" s="178"/>
      <c r="P8" s="178"/>
      <c r="Q8" s="178"/>
      <c r="R8" s="179"/>
      <c r="S8" s="30">
        <v>0.45300000000000001</v>
      </c>
      <c r="T8" s="163"/>
      <c r="U8" s="163"/>
      <c r="V8" s="163"/>
      <c r="W8" s="10"/>
    </row>
    <row r="9" spans="1:82" ht="53.25" customHeight="1" x14ac:dyDescent="0.2">
      <c r="A9" s="145" t="s">
        <v>292</v>
      </c>
      <c r="B9" s="28"/>
      <c r="C9" s="180" t="s">
        <v>65</v>
      </c>
      <c r="D9" s="181"/>
      <c r="E9" s="181"/>
      <c r="F9" s="181"/>
      <c r="G9" s="181"/>
      <c r="H9" s="181"/>
      <c r="I9" s="182"/>
      <c r="J9" s="182"/>
      <c r="K9" s="182"/>
      <c r="L9" s="183" t="s">
        <v>66</v>
      </c>
      <c r="M9" s="184"/>
      <c r="N9" s="184"/>
      <c r="O9" s="184"/>
      <c r="P9" s="184"/>
      <c r="Q9" s="185"/>
      <c r="R9" s="186" t="s">
        <v>67</v>
      </c>
      <c r="S9" s="187"/>
      <c r="T9" s="188" t="s">
        <v>68</v>
      </c>
      <c r="U9" s="188"/>
      <c r="V9" s="188"/>
      <c r="W9" s="189" t="s">
        <v>69</v>
      </c>
    </row>
    <row r="10" spans="1:82" s="143" customFormat="1" ht="86.25" customHeight="1" x14ac:dyDescent="0.2">
      <c r="A10" s="192" t="s">
        <v>70</v>
      </c>
      <c r="B10" s="194" t="s">
        <v>71</v>
      </c>
      <c r="C10" s="196" t="s">
        <v>269</v>
      </c>
      <c r="D10" s="196" t="s">
        <v>72</v>
      </c>
      <c r="E10" s="192" t="s">
        <v>73</v>
      </c>
      <c r="F10" s="196" t="s">
        <v>74</v>
      </c>
      <c r="G10" s="192" t="s">
        <v>75</v>
      </c>
      <c r="H10" s="192" t="s">
        <v>76</v>
      </c>
      <c r="I10" s="192" t="s">
        <v>77</v>
      </c>
      <c r="J10" s="196" t="s">
        <v>78</v>
      </c>
      <c r="K10" s="196" t="s">
        <v>79</v>
      </c>
      <c r="L10" s="200" t="s">
        <v>80</v>
      </c>
      <c r="M10" s="202" t="str">
        <f>IF(ISNA(VLOOKUP($R$7,$AB$2:$BY$4,48,)),"", (VLOOKUP($R$7,$AB$2:$BY$4,48,)))</f>
        <v>Maximum Distributor allowance to be taken</v>
      </c>
      <c r="N10" s="202" t="str">
        <f>IF(ISNA(VLOOKUP($R$7,$AB$2:$BY$4,49,)),"", (VLOOKUP($R$7,$AB$2:$BY$4,49,)))</f>
        <v>FOB Indiana K12 Bid Price list</v>
      </c>
      <c r="O10" s="155" t="s">
        <v>81</v>
      </c>
      <c r="P10" s="210" t="s">
        <v>82</v>
      </c>
      <c r="Q10" s="155" t="s">
        <v>83</v>
      </c>
      <c r="R10" s="212" t="s">
        <v>287</v>
      </c>
      <c r="S10" s="204" t="s">
        <v>84</v>
      </c>
      <c r="T10" s="198" t="s">
        <v>85</v>
      </c>
      <c r="U10" s="204" t="s">
        <v>86</v>
      </c>
      <c r="V10" s="198" t="s">
        <v>87</v>
      </c>
      <c r="W10" s="190"/>
    </row>
    <row r="11" spans="1:82" ht="35.25" customHeight="1" x14ac:dyDescent="0.2">
      <c r="A11" s="193"/>
      <c r="B11" s="195"/>
      <c r="C11" s="197"/>
      <c r="D11" s="197"/>
      <c r="E11" s="193"/>
      <c r="F11" s="197"/>
      <c r="G11" s="193"/>
      <c r="H11" s="193"/>
      <c r="I11" s="193"/>
      <c r="J11" s="197"/>
      <c r="K11" s="197"/>
      <c r="L11" s="201"/>
      <c r="M11" s="203"/>
      <c r="N11" s="203"/>
      <c r="O11" s="31">
        <v>0</v>
      </c>
      <c r="P11" s="211"/>
      <c r="Q11" s="31">
        <v>0</v>
      </c>
      <c r="R11" s="213"/>
      <c r="S11" s="205"/>
      <c r="T11" s="199"/>
      <c r="U11" s="205"/>
      <c r="V11" s="199"/>
      <c r="W11" s="191"/>
    </row>
    <row r="12" spans="1:82" ht="15" customHeight="1" x14ac:dyDescent="0.2">
      <c r="A12" s="206" t="s">
        <v>299</v>
      </c>
      <c r="B12" s="207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  <c r="W12" s="10"/>
    </row>
    <row r="13" spans="1:82" ht="15" customHeight="1" x14ac:dyDescent="0.2">
      <c r="A13" s="32" t="s">
        <v>88</v>
      </c>
      <c r="B13" s="33" t="s">
        <v>1</v>
      </c>
      <c r="C13" s="34" t="s">
        <v>89</v>
      </c>
      <c r="D13" s="35" t="s">
        <v>90</v>
      </c>
      <c r="E13" s="35" t="s">
        <v>91</v>
      </c>
      <c r="F13" s="36">
        <v>6</v>
      </c>
      <c r="G13" s="33">
        <v>49</v>
      </c>
      <c r="H13" s="37">
        <v>43.13</v>
      </c>
      <c r="I13" s="38">
        <v>1</v>
      </c>
      <c r="J13" s="33" t="s">
        <v>92</v>
      </c>
      <c r="K13" s="39" t="s">
        <v>93</v>
      </c>
      <c r="L13" s="40">
        <v>18.350000000000001</v>
      </c>
      <c r="M13" s="120">
        <f>IF(ISNA(VLOOKUP($R$7,$AB$2:$BS$4,2,)),"", (VLOOKUP($R$7,$AB$2:$BS$4,2,)))</f>
        <v>0.51</v>
      </c>
      <c r="N13" s="42">
        <f t="shared" ref="N13:N26" si="0">L13-M13</f>
        <v>17.84</v>
      </c>
      <c r="O13" s="43">
        <f t="shared" ref="O13:O26" si="1">(G13*$O$11/100)</f>
        <v>0</v>
      </c>
      <c r="P13" s="44">
        <f t="shared" ref="P13:P26" si="2">IF(M13&gt;5,M13+O13,N13+O13)</f>
        <v>17.84</v>
      </c>
      <c r="Q13" s="45">
        <f t="shared" ref="Q13:Q26" si="3">IF(M13&gt;5,(M13+($Q$11*G13/100)),(N13+($Q$11*G13/100)))</f>
        <v>17.84</v>
      </c>
      <c r="R13" s="46">
        <f>SUM(S13*$S$8)</f>
        <v>4.4439299999999999</v>
      </c>
      <c r="S13" s="150">
        <v>9.81</v>
      </c>
      <c r="T13" s="46">
        <f>P13-R13</f>
        <v>13.39607</v>
      </c>
      <c r="U13" s="46">
        <f t="shared" ref="U13:U26" si="4">T13/F13</f>
        <v>2.2326783333333333</v>
      </c>
      <c r="V13" s="47">
        <f>Q13-R13</f>
        <v>13.39607</v>
      </c>
      <c r="W13" s="10"/>
    </row>
    <row r="14" spans="1:82" ht="15" customHeight="1" x14ac:dyDescent="0.2">
      <c r="A14" s="48" t="s">
        <v>94</v>
      </c>
      <c r="B14" s="49" t="s">
        <v>2</v>
      </c>
      <c r="C14" s="50" t="s">
        <v>95</v>
      </c>
      <c r="D14" s="125" t="s">
        <v>90</v>
      </c>
      <c r="E14" s="125" t="s">
        <v>96</v>
      </c>
      <c r="F14" s="52">
        <v>6</v>
      </c>
      <c r="G14" s="49">
        <v>49</v>
      </c>
      <c r="H14" s="53">
        <v>42.75</v>
      </c>
      <c r="I14" s="54">
        <v>1</v>
      </c>
      <c r="J14" s="49" t="s">
        <v>92</v>
      </c>
      <c r="K14" s="55" t="s">
        <v>93</v>
      </c>
      <c r="L14" s="56">
        <v>21</v>
      </c>
      <c r="M14" s="120">
        <f>IF(ISNA(VLOOKUP($R$7,$AB$2:$BS$4,3,)),"", (VLOOKUP($R$7,$AB$2:$BS$4,3,)))</f>
        <v>0.51</v>
      </c>
      <c r="N14" s="57">
        <f t="shared" si="0"/>
        <v>20.49</v>
      </c>
      <c r="O14" s="43">
        <f t="shared" si="1"/>
        <v>0</v>
      </c>
      <c r="P14" s="44">
        <f t="shared" si="2"/>
        <v>20.49</v>
      </c>
      <c r="Q14" s="45">
        <f t="shared" si="3"/>
        <v>20.49</v>
      </c>
      <c r="R14" s="46">
        <f t="shared" ref="R14:R58" si="5">SUM(S14*$S$8)</f>
        <v>4.7066700000000008</v>
      </c>
      <c r="S14" s="150">
        <v>10.39</v>
      </c>
      <c r="T14" s="46">
        <f t="shared" ref="T14:T58" si="6">P14-R14</f>
        <v>15.783329999999998</v>
      </c>
      <c r="U14" s="46">
        <f t="shared" si="4"/>
        <v>2.6305549999999998</v>
      </c>
      <c r="V14" s="47">
        <f t="shared" ref="V14:V58" si="7">Q14-R14</f>
        <v>15.783329999999998</v>
      </c>
      <c r="W14" s="10"/>
    </row>
    <row r="15" spans="1:82" ht="15" customHeight="1" x14ac:dyDescent="0.2">
      <c r="A15" s="58" t="s">
        <v>97</v>
      </c>
      <c r="B15" s="59" t="s">
        <v>3</v>
      </c>
      <c r="C15" s="60" t="s">
        <v>98</v>
      </c>
      <c r="D15" s="125" t="s">
        <v>99</v>
      </c>
      <c r="E15" s="125" t="s">
        <v>96</v>
      </c>
      <c r="F15" s="52">
        <v>6</v>
      </c>
      <c r="G15" s="59">
        <v>45</v>
      </c>
      <c r="H15" s="61">
        <v>42.75</v>
      </c>
      <c r="I15" s="62">
        <v>1</v>
      </c>
      <c r="J15" s="59" t="s">
        <v>92</v>
      </c>
      <c r="K15" s="55" t="s">
        <v>93</v>
      </c>
      <c r="L15" s="56">
        <v>17.399999999999999</v>
      </c>
      <c r="M15" s="120">
        <f>IF(ISNA(VLOOKUP($R$7,$AB$2:$BS$4,4,)),"", (VLOOKUP($R$7,$AB$2:$BS$4,4,)))</f>
        <v>0.51</v>
      </c>
      <c r="N15" s="57">
        <f t="shared" si="0"/>
        <v>16.889999999999997</v>
      </c>
      <c r="O15" s="43">
        <f t="shared" si="1"/>
        <v>0</v>
      </c>
      <c r="P15" s="44">
        <f t="shared" si="2"/>
        <v>16.889999999999997</v>
      </c>
      <c r="Q15" s="45">
        <f t="shared" si="3"/>
        <v>16.889999999999997</v>
      </c>
      <c r="R15" s="46">
        <f t="shared" si="5"/>
        <v>4.4031600000000006</v>
      </c>
      <c r="S15" s="150">
        <v>9.7200000000000006</v>
      </c>
      <c r="T15" s="46">
        <f t="shared" si="6"/>
        <v>12.486839999999997</v>
      </c>
      <c r="U15" s="46">
        <f t="shared" si="4"/>
        <v>2.0811399999999995</v>
      </c>
      <c r="V15" s="47">
        <f t="shared" si="7"/>
        <v>12.486839999999997</v>
      </c>
      <c r="W15" s="10"/>
    </row>
    <row r="16" spans="1:82" ht="15" customHeight="1" x14ac:dyDescent="0.2">
      <c r="A16" s="58" t="s">
        <v>100</v>
      </c>
      <c r="B16" s="63" t="s">
        <v>4</v>
      </c>
      <c r="C16" s="60" t="s">
        <v>101</v>
      </c>
      <c r="D16" s="59" t="s">
        <v>102</v>
      </c>
      <c r="E16" s="59" t="s">
        <v>96</v>
      </c>
      <c r="F16" s="49">
        <v>6</v>
      </c>
      <c r="G16" s="59">
        <v>48</v>
      </c>
      <c r="H16" s="61">
        <v>42.75</v>
      </c>
      <c r="I16" s="62">
        <v>1</v>
      </c>
      <c r="J16" s="59" t="s">
        <v>103</v>
      </c>
      <c r="K16" s="55" t="s">
        <v>93</v>
      </c>
      <c r="L16" s="56">
        <v>21.55</v>
      </c>
      <c r="M16" s="120">
        <f>IF(ISNA(VLOOKUP($R$7,$AB$2:$BS$4,5,)),"", (VLOOKUP($R$7,$AB$2:$BS$4,5,)))</f>
        <v>0.26</v>
      </c>
      <c r="N16" s="57">
        <f t="shared" si="0"/>
        <v>21.29</v>
      </c>
      <c r="O16" s="43">
        <f t="shared" si="1"/>
        <v>0</v>
      </c>
      <c r="P16" s="44">
        <f t="shared" si="2"/>
        <v>21.29</v>
      </c>
      <c r="Q16" s="45">
        <f t="shared" si="3"/>
        <v>21.29</v>
      </c>
      <c r="R16" s="46">
        <f t="shared" si="5"/>
        <v>4.4031600000000006</v>
      </c>
      <c r="S16" s="150">
        <v>9.7200000000000006</v>
      </c>
      <c r="T16" s="46">
        <f t="shared" si="6"/>
        <v>16.886839999999999</v>
      </c>
      <c r="U16" s="46">
        <f t="shared" si="4"/>
        <v>2.8144733333333334</v>
      </c>
      <c r="V16" s="47">
        <f t="shared" si="7"/>
        <v>16.886839999999999</v>
      </c>
      <c r="W16" s="10"/>
    </row>
    <row r="17" spans="1:23" ht="15" customHeight="1" x14ac:dyDescent="0.2">
      <c r="A17" s="58" t="s">
        <v>104</v>
      </c>
      <c r="B17" s="63" t="s">
        <v>5</v>
      </c>
      <c r="C17" s="60" t="s">
        <v>105</v>
      </c>
      <c r="D17" s="59" t="s">
        <v>106</v>
      </c>
      <c r="E17" s="59" t="s">
        <v>107</v>
      </c>
      <c r="F17" s="49">
        <v>9</v>
      </c>
      <c r="G17" s="59">
        <v>41</v>
      </c>
      <c r="H17" s="61">
        <v>36</v>
      </c>
      <c r="I17" s="62">
        <v>1.35</v>
      </c>
      <c r="J17" s="59" t="s">
        <v>108</v>
      </c>
      <c r="K17" s="55" t="s">
        <v>109</v>
      </c>
      <c r="L17" s="56">
        <v>18.600000000000001</v>
      </c>
      <c r="M17" s="120">
        <f>IF(ISNA(VLOOKUP($R$7,$AB$2:$BS$4,6,)),"", (VLOOKUP($R$7,$AB$2:$BS$4,6,)))</f>
        <v>0.51</v>
      </c>
      <c r="N17" s="57">
        <f t="shared" si="0"/>
        <v>18.09</v>
      </c>
      <c r="O17" s="43">
        <f t="shared" si="1"/>
        <v>0</v>
      </c>
      <c r="P17" s="44">
        <f t="shared" si="2"/>
        <v>18.09</v>
      </c>
      <c r="Q17" s="45">
        <f t="shared" si="3"/>
        <v>18.09</v>
      </c>
      <c r="R17" s="46">
        <f t="shared" si="5"/>
        <v>3.7281900000000001</v>
      </c>
      <c r="S17" s="150">
        <v>8.23</v>
      </c>
      <c r="T17" s="46">
        <f t="shared" si="6"/>
        <v>14.36181</v>
      </c>
      <c r="U17" s="46">
        <f t="shared" si="4"/>
        <v>1.5957566666666667</v>
      </c>
      <c r="V17" s="47">
        <f t="shared" si="7"/>
        <v>14.36181</v>
      </c>
      <c r="W17" s="10"/>
    </row>
    <row r="18" spans="1:23" ht="15" customHeight="1" x14ac:dyDescent="0.2">
      <c r="A18" s="58" t="s">
        <v>110</v>
      </c>
      <c r="B18" s="59" t="s">
        <v>6</v>
      </c>
      <c r="C18" s="60" t="s">
        <v>111</v>
      </c>
      <c r="D18" s="59" t="s">
        <v>112</v>
      </c>
      <c r="E18" s="59" t="s">
        <v>113</v>
      </c>
      <c r="F18" s="49">
        <v>1</v>
      </c>
      <c r="G18" s="59">
        <v>31</v>
      </c>
      <c r="H18" s="61">
        <v>28.5</v>
      </c>
      <c r="I18" s="62">
        <v>0.56000000000000005</v>
      </c>
      <c r="J18" s="59" t="s">
        <v>114</v>
      </c>
      <c r="K18" s="55" t="s">
        <v>115</v>
      </c>
      <c r="L18" s="56">
        <v>13.9</v>
      </c>
      <c r="M18" s="120">
        <f>IF(ISNA(VLOOKUP($R$7,$AB$2:$BS$4,7,)),"", (VLOOKUP($R$7,$AB$2:$BS$4,7,)))</f>
        <v>0.26</v>
      </c>
      <c r="N18" s="57">
        <f t="shared" si="0"/>
        <v>13.64</v>
      </c>
      <c r="O18" s="43">
        <f t="shared" si="1"/>
        <v>0</v>
      </c>
      <c r="P18" s="44">
        <f t="shared" si="2"/>
        <v>13.64</v>
      </c>
      <c r="Q18" s="45">
        <f t="shared" si="3"/>
        <v>13.64</v>
      </c>
      <c r="R18" s="46">
        <f t="shared" si="5"/>
        <v>2.9354400000000003</v>
      </c>
      <c r="S18" s="150">
        <v>6.48</v>
      </c>
      <c r="T18" s="46">
        <f t="shared" si="6"/>
        <v>10.704560000000001</v>
      </c>
      <c r="U18" s="46">
        <f t="shared" si="4"/>
        <v>10.704560000000001</v>
      </c>
      <c r="V18" s="47">
        <f t="shared" si="7"/>
        <v>10.704560000000001</v>
      </c>
      <c r="W18" s="10"/>
    </row>
    <row r="19" spans="1:23" ht="15" customHeight="1" x14ac:dyDescent="0.2">
      <c r="A19" s="58" t="s">
        <v>116</v>
      </c>
      <c r="B19" s="59" t="s">
        <v>7</v>
      </c>
      <c r="C19" s="60" t="s">
        <v>117</v>
      </c>
      <c r="D19" s="59" t="s">
        <v>112</v>
      </c>
      <c r="E19" s="59" t="s">
        <v>113</v>
      </c>
      <c r="F19" s="49">
        <v>1</v>
      </c>
      <c r="G19" s="59">
        <v>31</v>
      </c>
      <c r="H19" s="61">
        <v>28.5</v>
      </c>
      <c r="I19" s="62">
        <v>0.56000000000000005</v>
      </c>
      <c r="J19" s="59" t="s">
        <v>114</v>
      </c>
      <c r="K19" s="55" t="s">
        <v>118</v>
      </c>
      <c r="L19" s="56">
        <v>16</v>
      </c>
      <c r="M19" s="120">
        <f>IF(ISNA(VLOOKUP($R$7,$AB$2:$BS$4,8,)),"", (VLOOKUP($R$7,$AB$2:$BS$4,8,)))</f>
        <v>0.51</v>
      </c>
      <c r="N19" s="57">
        <f t="shared" si="0"/>
        <v>15.49</v>
      </c>
      <c r="O19" s="43">
        <f t="shared" si="1"/>
        <v>0</v>
      </c>
      <c r="P19" s="44">
        <f t="shared" si="2"/>
        <v>15.49</v>
      </c>
      <c r="Q19" s="45">
        <f t="shared" si="3"/>
        <v>15.49</v>
      </c>
      <c r="R19" s="46">
        <f t="shared" si="5"/>
        <v>3.1392899999999999</v>
      </c>
      <c r="S19" s="150">
        <v>6.93</v>
      </c>
      <c r="T19" s="46">
        <f t="shared" si="6"/>
        <v>12.350709999999999</v>
      </c>
      <c r="U19" s="46">
        <f t="shared" si="4"/>
        <v>12.350709999999999</v>
      </c>
      <c r="V19" s="47">
        <f t="shared" si="7"/>
        <v>12.350709999999999</v>
      </c>
      <c r="W19" s="10"/>
    </row>
    <row r="20" spans="1:23" ht="15" customHeight="1" x14ac:dyDescent="0.2">
      <c r="A20" s="58" t="s">
        <v>119</v>
      </c>
      <c r="B20" s="59" t="s">
        <v>8</v>
      </c>
      <c r="C20" s="126" t="s">
        <v>261</v>
      </c>
      <c r="D20" s="125" t="s">
        <v>120</v>
      </c>
      <c r="E20" s="125" t="s">
        <v>121</v>
      </c>
      <c r="F20" s="52">
        <v>3</v>
      </c>
      <c r="G20" s="59">
        <v>45</v>
      </c>
      <c r="H20" s="61">
        <v>43.5</v>
      </c>
      <c r="I20" s="62">
        <v>0.9</v>
      </c>
      <c r="J20" s="59" t="s">
        <v>122</v>
      </c>
      <c r="K20" s="55" t="s">
        <v>123</v>
      </c>
      <c r="L20" s="56">
        <v>16.649999999999999</v>
      </c>
      <c r="M20" s="120">
        <f>IF(ISNA(VLOOKUP($R$7,$AB$2:$BS$4,9,)),"", (VLOOKUP($R$7,$AB$2:$BS$4,9,)))</f>
        <v>0.51</v>
      </c>
      <c r="N20" s="57">
        <f t="shared" si="0"/>
        <v>16.139999999999997</v>
      </c>
      <c r="O20" s="43">
        <f t="shared" si="1"/>
        <v>0</v>
      </c>
      <c r="P20" s="44">
        <f t="shared" si="2"/>
        <v>16.139999999999997</v>
      </c>
      <c r="Q20" s="45">
        <f t="shared" si="3"/>
        <v>16.139999999999997</v>
      </c>
      <c r="R20" s="46">
        <f t="shared" si="5"/>
        <v>4.4801700000000002</v>
      </c>
      <c r="S20" s="150">
        <v>9.89</v>
      </c>
      <c r="T20" s="46">
        <f t="shared" si="6"/>
        <v>11.659829999999996</v>
      </c>
      <c r="U20" s="46">
        <f t="shared" si="4"/>
        <v>3.8866099999999988</v>
      </c>
      <c r="V20" s="47">
        <f t="shared" si="7"/>
        <v>11.659829999999996</v>
      </c>
      <c r="W20" s="10"/>
    </row>
    <row r="21" spans="1:23" ht="15" customHeight="1" x14ac:dyDescent="0.2">
      <c r="A21" s="32" t="s">
        <v>127</v>
      </c>
      <c r="B21" s="33" t="s">
        <v>11</v>
      </c>
      <c r="C21" s="34" t="s">
        <v>128</v>
      </c>
      <c r="D21" s="33" t="s">
        <v>129</v>
      </c>
      <c r="E21" s="33" t="s">
        <v>130</v>
      </c>
      <c r="F21" s="33">
        <v>1000</v>
      </c>
      <c r="G21" s="33">
        <v>23</v>
      </c>
      <c r="H21" s="37">
        <v>19.84</v>
      </c>
      <c r="I21" s="38">
        <v>0.8</v>
      </c>
      <c r="J21" s="33" t="s">
        <v>131</v>
      </c>
      <c r="K21" s="39" t="s">
        <v>132</v>
      </c>
      <c r="L21" s="40">
        <v>15.05</v>
      </c>
      <c r="M21" s="120">
        <f>IF(ISNA(VLOOKUP($R$7,$AB$2:$BS$4,10,)),"", (VLOOKUP($R$7,$AB$2:$BS$4,10,)))</f>
        <v>0.26</v>
      </c>
      <c r="N21" s="42">
        <f t="shared" si="0"/>
        <v>14.790000000000001</v>
      </c>
      <c r="O21" s="43">
        <f t="shared" si="1"/>
        <v>0</v>
      </c>
      <c r="P21" s="44">
        <f t="shared" si="2"/>
        <v>14.790000000000001</v>
      </c>
      <c r="Q21" s="45">
        <f t="shared" si="3"/>
        <v>14.790000000000001</v>
      </c>
      <c r="R21" s="46">
        <f t="shared" si="5"/>
        <v>1.90713</v>
      </c>
      <c r="S21" s="150">
        <v>4.21</v>
      </c>
      <c r="T21" s="46">
        <f t="shared" si="6"/>
        <v>12.88287</v>
      </c>
      <c r="U21" s="46">
        <f t="shared" si="4"/>
        <v>1.2882870000000001E-2</v>
      </c>
      <c r="V21" s="47">
        <f t="shared" si="7"/>
        <v>12.88287</v>
      </c>
      <c r="W21" s="10"/>
    </row>
    <row r="22" spans="1:23" ht="15" customHeight="1" x14ac:dyDescent="0.2">
      <c r="A22" s="48" t="s">
        <v>133</v>
      </c>
      <c r="B22" s="49" t="s">
        <v>12</v>
      </c>
      <c r="C22" s="50" t="s">
        <v>134</v>
      </c>
      <c r="D22" s="59" t="s">
        <v>129</v>
      </c>
      <c r="E22" s="59" t="s">
        <v>130</v>
      </c>
      <c r="F22" s="49">
        <v>1000</v>
      </c>
      <c r="G22" s="49">
        <v>23</v>
      </c>
      <c r="H22" s="53">
        <v>19.84</v>
      </c>
      <c r="I22" s="65">
        <v>0.8</v>
      </c>
      <c r="J22" s="49" t="s">
        <v>131</v>
      </c>
      <c r="K22" s="66" t="s">
        <v>132</v>
      </c>
      <c r="L22" s="56">
        <v>17.149999999999999</v>
      </c>
      <c r="M22" s="120">
        <f>IF(ISNA(VLOOKUP($R$7,$AB$2:$BS$4,11,)),"", (VLOOKUP($R$7,$AB$2:$BS$4,11,)))</f>
        <v>0.51</v>
      </c>
      <c r="N22" s="57">
        <f t="shared" si="0"/>
        <v>16.639999999999997</v>
      </c>
      <c r="O22" s="43">
        <f t="shared" si="1"/>
        <v>0</v>
      </c>
      <c r="P22" s="44">
        <f t="shared" si="2"/>
        <v>16.639999999999997</v>
      </c>
      <c r="Q22" s="45">
        <f t="shared" si="3"/>
        <v>16.639999999999997</v>
      </c>
      <c r="R22" s="46">
        <f t="shared" si="5"/>
        <v>2.1789299999999998</v>
      </c>
      <c r="S22" s="150">
        <v>4.8099999999999996</v>
      </c>
      <c r="T22" s="46">
        <f t="shared" si="6"/>
        <v>14.461069999999998</v>
      </c>
      <c r="U22" s="46">
        <f t="shared" si="4"/>
        <v>1.4461069999999998E-2</v>
      </c>
      <c r="V22" s="47">
        <f t="shared" si="7"/>
        <v>14.461069999999998</v>
      </c>
      <c r="W22" s="10"/>
    </row>
    <row r="23" spans="1:23" ht="15" customHeight="1" x14ac:dyDescent="0.2">
      <c r="A23" s="58" t="s">
        <v>135</v>
      </c>
      <c r="B23" s="59" t="s">
        <v>13</v>
      </c>
      <c r="C23" s="126" t="s">
        <v>253</v>
      </c>
      <c r="D23" s="59" t="s">
        <v>136</v>
      </c>
      <c r="E23" s="59" t="s">
        <v>137</v>
      </c>
      <c r="F23" s="59">
        <v>250</v>
      </c>
      <c r="G23" s="59">
        <v>18</v>
      </c>
      <c r="H23" s="61">
        <v>15.63</v>
      </c>
      <c r="I23" s="62">
        <v>0.6</v>
      </c>
      <c r="J23" s="59" t="s">
        <v>138</v>
      </c>
      <c r="K23" s="55" t="s">
        <v>139</v>
      </c>
      <c r="L23" s="67">
        <v>18.600000000000001</v>
      </c>
      <c r="M23" s="120">
        <f>IF(ISNA(VLOOKUP($R$7,$AB$2:$BS$4,12,)),"", (VLOOKUP($R$7,$AB$2:$BS$4,12,)))</f>
        <v>0.26</v>
      </c>
      <c r="N23" s="57">
        <f t="shared" si="0"/>
        <v>18.34</v>
      </c>
      <c r="O23" s="43">
        <f t="shared" si="1"/>
        <v>0</v>
      </c>
      <c r="P23" s="44">
        <f t="shared" si="2"/>
        <v>18.34</v>
      </c>
      <c r="Q23" s="45">
        <f t="shared" si="3"/>
        <v>18.34</v>
      </c>
      <c r="R23" s="46">
        <f t="shared" si="5"/>
        <v>1.6126800000000001</v>
      </c>
      <c r="S23" s="150">
        <v>3.56</v>
      </c>
      <c r="T23" s="46">
        <f t="shared" si="6"/>
        <v>16.727319999999999</v>
      </c>
      <c r="U23" s="46">
        <f t="shared" si="4"/>
        <v>6.6909280000000002E-2</v>
      </c>
      <c r="V23" s="47">
        <f t="shared" si="7"/>
        <v>16.727319999999999</v>
      </c>
      <c r="W23" s="10"/>
    </row>
    <row r="24" spans="1:23" ht="15" customHeight="1" x14ac:dyDescent="0.2">
      <c r="A24" s="58" t="s">
        <v>140</v>
      </c>
      <c r="B24" s="59" t="s">
        <v>14</v>
      </c>
      <c r="C24" s="126" t="s">
        <v>254</v>
      </c>
      <c r="D24" s="59" t="s">
        <v>136</v>
      </c>
      <c r="E24" s="59" t="s">
        <v>137</v>
      </c>
      <c r="F24" s="59">
        <v>250</v>
      </c>
      <c r="G24" s="59">
        <v>18</v>
      </c>
      <c r="H24" s="61">
        <v>15.63</v>
      </c>
      <c r="I24" s="62">
        <v>0.6</v>
      </c>
      <c r="J24" s="59" t="s">
        <v>138</v>
      </c>
      <c r="K24" s="55" t="s">
        <v>139</v>
      </c>
      <c r="L24" s="67">
        <v>19.350000000000001</v>
      </c>
      <c r="M24" s="120">
        <f>IF(ISNA(VLOOKUP($R$7,$AB$2:$BS$4,13,)),"", (VLOOKUP($R$7,$AB$2:$BS$4,13,)))</f>
        <v>0.26</v>
      </c>
      <c r="N24" s="57">
        <f t="shared" si="0"/>
        <v>19.09</v>
      </c>
      <c r="O24" s="43">
        <f t="shared" si="1"/>
        <v>0</v>
      </c>
      <c r="P24" s="44">
        <f t="shared" si="2"/>
        <v>19.09</v>
      </c>
      <c r="Q24" s="45">
        <f t="shared" si="3"/>
        <v>19.09</v>
      </c>
      <c r="R24" s="46">
        <f t="shared" si="5"/>
        <v>2.0294400000000001</v>
      </c>
      <c r="S24" s="150">
        <v>4.4800000000000004</v>
      </c>
      <c r="T24" s="46">
        <f t="shared" si="6"/>
        <v>17.060559999999999</v>
      </c>
      <c r="U24" s="46">
        <f t="shared" si="4"/>
        <v>6.8242239999999996E-2</v>
      </c>
      <c r="V24" s="47">
        <f t="shared" si="7"/>
        <v>17.060559999999999</v>
      </c>
      <c r="W24" s="10"/>
    </row>
    <row r="25" spans="1:23" ht="15" customHeight="1" x14ac:dyDescent="0.2">
      <c r="A25" s="58" t="s">
        <v>141</v>
      </c>
      <c r="B25" s="68" t="s">
        <v>142</v>
      </c>
      <c r="C25" s="126" t="s">
        <v>255</v>
      </c>
      <c r="D25" s="59" t="s">
        <v>143</v>
      </c>
      <c r="E25" s="59" t="s">
        <v>144</v>
      </c>
      <c r="F25" s="59">
        <v>12</v>
      </c>
      <c r="G25" s="59">
        <v>18</v>
      </c>
      <c r="H25" s="61">
        <v>15</v>
      </c>
      <c r="I25" s="62">
        <v>0.49</v>
      </c>
      <c r="J25" s="59" t="s">
        <v>145</v>
      </c>
      <c r="K25" s="55" t="s">
        <v>146</v>
      </c>
      <c r="L25" s="67">
        <v>18.5</v>
      </c>
      <c r="M25" s="120">
        <f>IF(ISNA(VLOOKUP($R$7,$AB$2:$BS$4,14,)),"", (VLOOKUP($R$7,$AB$2:$BS$4,14,)))</f>
        <v>0.26</v>
      </c>
      <c r="N25" s="57">
        <f t="shared" si="0"/>
        <v>18.239999999999998</v>
      </c>
      <c r="O25" s="43">
        <f t="shared" si="1"/>
        <v>0</v>
      </c>
      <c r="P25" s="44">
        <f t="shared" si="2"/>
        <v>18.239999999999998</v>
      </c>
      <c r="Q25" s="45">
        <f t="shared" si="3"/>
        <v>18.239999999999998</v>
      </c>
      <c r="R25" s="46">
        <f t="shared" si="5"/>
        <v>1.51302</v>
      </c>
      <c r="S25" s="150">
        <v>3.34</v>
      </c>
      <c r="T25" s="46">
        <f t="shared" si="6"/>
        <v>16.726979999999998</v>
      </c>
      <c r="U25" s="46">
        <f t="shared" si="4"/>
        <v>1.3939149999999998</v>
      </c>
      <c r="V25" s="47">
        <f t="shared" si="7"/>
        <v>16.726979999999998</v>
      </c>
      <c r="W25" s="10"/>
    </row>
    <row r="26" spans="1:23" ht="15" customHeight="1" x14ac:dyDescent="0.2">
      <c r="A26" s="69" t="s">
        <v>293</v>
      </c>
      <c r="B26" s="156" t="s">
        <v>294</v>
      </c>
      <c r="C26" s="126" t="s">
        <v>295</v>
      </c>
      <c r="D26" s="92" t="s">
        <v>296</v>
      </c>
      <c r="E26" s="92" t="s">
        <v>297</v>
      </c>
      <c r="F26" s="49">
        <v>1000</v>
      </c>
      <c r="G26" s="49">
        <v>21</v>
      </c>
      <c r="H26" s="53">
        <v>17.5</v>
      </c>
      <c r="I26" s="65">
        <v>0.8</v>
      </c>
      <c r="J26" s="49" t="s">
        <v>131</v>
      </c>
      <c r="K26" s="66" t="s">
        <v>132</v>
      </c>
      <c r="L26" s="67">
        <v>20.5</v>
      </c>
      <c r="M26" s="120">
        <f>IF(ISNA(VLOOKUP($R$7,$AB$2:$BS$4,15,)),"", (VLOOKUP($R$7,$AB$2:$BS$4,15,)))</f>
        <v>0.26</v>
      </c>
      <c r="N26" s="57">
        <f t="shared" si="0"/>
        <v>20.239999999999998</v>
      </c>
      <c r="O26" s="43">
        <f t="shared" si="1"/>
        <v>0</v>
      </c>
      <c r="P26" s="44">
        <f t="shared" si="2"/>
        <v>20.239999999999998</v>
      </c>
      <c r="Q26" s="45">
        <f t="shared" si="3"/>
        <v>20.239999999999998</v>
      </c>
      <c r="R26" s="46">
        <f t="shared" si="5"/>
        <v>1.76217</v>
      </c>
      <c r="S26" s="150">
        <v>3.89</v>
      </c>
      <c r="T26" s="46">
        <f t="shared" si="6"/>
        <v>18.477829999999997</v>
      </c>
      <c r="U26" s="46">
        <f t="shared" si="4"/>
        <v>1.8477829999999997E-2</v>
      </c>
      <c r="V26" s="47">
        <f t="shared" si="7"/>
        <v>18.477829999999997</v>
      </c>
      <c r="W26" s="10"/>
    </row>
    <row r="27" spans="1:23" ht="15" customHeight="1" x14ac:dyDescent="0.2">
      <c r="A27" s="206" t="s">
        <v>298</v>
      </c>
      <c r="B27" s="207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10"/>
    </row>
    <row r="28" spans="1:23" ht="15" customHeight="1" x14ac:dyDescent="0.2">
      <c r="A28" s="58" t="s">
        <v>169</v>
      </c>
      <c r="B28" s="68" t="s">
        <v>20</v>
      </c>
      <c r="C28" s="126" t="s">
        <v>257</v>
      </c>
      <c r="D28" s="59" t="s">
        <v>136</v>
      </c>
      <c r="E28" s="59" t="s">
        <v>137</v>
      </c>
      <c r="F28" s="59">
        <v>250</v>
      </c>
      <c r="G28" s="59">
        <v>18</v>
      </c>
      <c r="H28" s="61">
        <v>15.63</v>
      </c>
      <c r="I28" s="62">
        <v>0.6</v>
      </c>
      <c r="J28" s="59" t="s">
        <v>138</v>
      </c>
      <c r="K28" s="55" t="s">
        <v>139</v>
      </c>
      <c r="L28" s="67">
        <v>21.7</v>
      </c>
      <c r="M28" s="120">
        <f>IF(ISNA(VLOOKUP($R$7,$AB$2:$BS$4,16,)),"", (VLOOKUP($R$7,$AB$2:$BS$4,16,)))</f>
        <v>0.26</v>
      </c>
      <c r="N28" s="57">
        <f t="shared" ref="N28:N34" si="8">L28-M28</f>
        <v>21.439999999999998</v>
      </c>
      <c r="O28" s="43">
        <f t="shared" ref="O28:O34" si="9">(G28*$O$11/100)</f>
        <v>0</v>
      </c>
      <c r="P28" s="44">
        <f t="shared" ref="P28:P34" si="10">IF(M28&gt;5,M28+O28,N28+O28)</f>
        <v>21.439999999999998</v>
      </c>
      <c r="Q28" s="45">
        <f t="shared" ref="Q28:Q34" si="11">IF(M28&gt;5,(M28+($Q$11*G28/100)),(N28+($Q$11*G28/100)))</f>
        <v>21.439999999999998</v>
      </c>
      <c r="R28" s="46">
        <f>SUM(S28*$S$8)</f>
        <v>0.92864999999999998</v>
      </c>
      <c r="S28" s="150">
        <v>2.0499999999999998</v>
      </c>
      <c r="T28" s="46">
        <f>P28-R28</f>
        <v>20.511349999999997</v>
      </c>
      <c r="U28" s="46">
        <f t="shared" ref="U28:U34" si="12">T28/F28</f>
        <v>8.2045399999999991E-2</v>
      </c>
      <c r="V28" s="47">
        <f>Q28-R28</f>
        <v>20.511349999999997</v>
      </c>
      <c r="W28" s="10"/>
    </row>
    <row r="29" spans="1:23" ht="15" customHeight="1" x14ac:dyDescent="0.2">
      <c r="A29" s="58" t="s">
        <v>170</v>
      </c>
      <c r="B29" s="59" t="s">
        <v>21</v>
      </c>
      <c r="C29" s="126" t="s">
        <v>260</v>
      </c>
      <c r="D29" s="59" t="s">
        <v>171</v>
      </c>
      <c r="E29" s="59" t="s">
        <v>137</v>
      </c>
      <c r="F29" s="59">
        <v>250</v>
      </c>
      <c r="G29" s="59">
        <v>18</v>
      </c>
      <c r="H29" s="61">
        <v>15</v>
      </c>
      <c r="I29" s="62">
        <v>0.49</v>
      </c>
      <c r="J29" s="59" t="s">
        <v>145</v>
      </c>
      <c r="K29" s="55" t="s">
        <v>139</v>
      </c>
      <c r="L29" s="67">
        <v>23.9</v>
      </c>
      <c r="M29" s="120">
        <f>IF(ISNA(VLOOKUP($R$7,$AB$2:$BS$4,17,)),"", (VLOOKUP($R$7,$AB$2:$BS$4,17,)))</f>
        <v>0.26</v>
      </c>
      <c r="N29" s="57">
        <f t="shared" si="8"/>
        <v>23.639999999999997</v>
      </c>
      <c r="O29" s="43">
        <f t="shared" si="9"/>
        <v>0</v>
      </c>
      <c r="P29" s="44">
        <f t="shared" si="10"/>
        <v>23.639999999999997</v>
      </c>
      <c r="Q29" s="45">
        <f t="shared" si="11"/>
        <v>23.639999999999997</v>
      </c>
      <c r="R29" s="46">
        <f>SUM(S29*$S$8)</f>
        <v>0.78369</v>
      </c>
      <c r="S29" s="151">
        <v>1.73</v>
      </c>
      <c r="T29" s="46">
        <f>P29-R29</f>
        <v>22.856309999999997</v>
      </c>
      <c r="U29" s="46">
        <f t="shared" si="12"/>
        <v>9.1425239999999991E-2</v>
      </c>
      <c r="V29" s="47">
        <f>Q29-R29</f>
        <v>22.856309999999997</v>
      </c>
      <c r="W29" s="10"/>
    </row>
    <row r="30" spans="1:23" ht="15" customHeight="1" x14ac:dyDescent="0.2">
      <c r="A30" s="58" t="s">
        <v>168</v>
      </c>
      <c r="B30" s="68" t="s">
        <v>17</v>
      </c>
      <c r="C30" s="126" t="s">
        <v>258</v>
      </c>
      <c r="D30" s="59" t="s">
        <v>136</v>
      </c>
      <c r="E30" s="59" t="s">
        <v>137</v>
      </c>
      <c r="F30" s="59">
        <v>250</v>
      </c>
      <c r="G30" s="59">
        <v>18</v>
      </c>
      <c r="H30" s="61">
        <v>15.63</v>
      </c>
      <c r="I30" s="62">
        <v>0.6</v>
      </c>
      <c r="J30" s="59" t="s">
        <v>138</v>
      </c>
      <c r="K30" s="55" t="s">
        <v>139</v>
      </c>
      <c r="L30" s="67">
        <v>23.9</v>
      </c>
      <c r="M30" s="120">
        <f>IF(ISNA(VLOOKUP($R$7,$AB$2:$BS$4,18,)),"", (VLOOKUP($R$7,$AB$2:$BS$4,18,)))</f>
        <v>0.26</v>
      </c>
      <c r="N30" s="57">
        <f t="shared" si="8"/>
        <v>23.639999999999997</v>
      </c>
      <c r="O30" s="43">
        <f t="shared" si="9"/>
        <v>0</v>
      </c>
      <c r="P30" s="44">
        <f t="shared" si="10"/>
        <v>23.639999999999997</v>
      </c>
      <c r="Q30" s="45">
        <f t="shared" si="11"/>
        <v>23.639999999999997</v>
      </c>
      <c r="R30" s="46">
        <f>SUM(S30*$S$8)</f>
        <v>1.80294</v>
      </c>
      <c r="S30" s="150">
        <v>3.98</v>
      </c>
      <c r="T30" s="46">
        <f>P30-R30</f>
        <v>21.837059999999997</v>
      </c>
      <c r="U30" s="46">
        <f t="shared" si="12"/>
        <v>8.7348239999999994E-2</v>
      </c>
      <c r="V30" s="47">
        <f>Q30-R30</f>
        <v>21.837059999999997</v>
      </c>
      <c r="W30" s="10"/>
    </row>
    <row r="31" spans="1:23" ht="15" customHeight="1" x14ac:dyDescent="0.2">
      <c r="A31" s="69" t="s">
        <v>148</v>
      </c>
      <c r="B31" s="70" t="s">
        <v>15</v>
      </c>
      <c r="C31" s="60" t="s">
        <v>149</v>
      </c>
      <c r="D31" s="59" t="s">
        <v>150</v>
      </c>
      <c r="E31" s="59" t="s">
        <v>151</v>
      </c>
      <c r="F31" s="71">
        <v>84</v>
      </c>
      <c r="G31" s="71">
        <v>18</v>
      </c>
      <c r="H31" s="61">
        <v>15.75</v>
      </c>
      <c r="I31" s="62">
        <v>0.74</v>
      </c>
      <c r="J31" s="58" t="s">
        <v>152</v>
      </c>
      <c r="K31" s="72" t="s">
        <v>153</v>
      </c>
      <c r="L31" s="67">
        <v>25.7</v>
      </c>
      <c r="M31" s="120">
        <f>IF(ISNA(VLOOKUP($R$7,$AB$2:$BS$4,19,)),"", (VLOOKUP($R$7,$AB$2:$BS$4,19,)))</f>
        <v>0.26</v>
      </c>
      <c r="N31" s="57">
        <f t="shared" si="8"/>
        <v>25.439999999999998</v>
      </c>
      <c r="O31" s="43">
        <f t="shared" si="9"/>
        <v>0</v>
      </c>
      <c r="P31" s="44">
        <f t="shared" si="10"/>
        <v>25.439999999999998</v>
      </c>
      <c r="Q31" s="45">
        <f t="shared" si="11"/>
        <v>25.439999999999998</v>
      </c>
      <c r="R31" s="46">
        <f t="shared" si="5"/>
        <v>1.06908</v>
      </c>
      <c r="S31" s="150">
        <v>2.36</v>
      </c>
      <c r="T31" s="46">
        <f t="shared" si="6"/>
        <v>24.370919999999998</v>
      </c>
      <c r="U31" s="46">
        <f t="shared" si="12"/>
        <v>0.29013</v>
      </c>
      <c r="V31" s="47">
        <f t="shared" si="7"/>
        <v>24.370919999999998</v>
      </c>
      <c r="W31" s="10"/>
    </row>
    <row r="32" spans="1:23" ht="15" customHeight="1" x14ac:dyDescent="0.2">
      <c r="A32" s="58" t="s">
        <v>154</v>
      </c>
      <c r="B32" s="124" t="s">
        <v>16</v>
      </c>
      <c r="C32" s="60" t="s">
        <v>155</v>
      </c>
      <c r="D32" s="59" t="s">
        <v>156</v>
      </c>
      <c r="E32" s="59" t="s">
        <v>151</v>
      </c>
      <c r="F32" s="71">
        <v>168</v>
      </c>
      <c r="G32" s="71">
        <v>35</v>
      </c>
      <c r="H32" s="61">
        <v>31.52</v>
      </c>
      <c r="I32" s="62">
        <v>1.57</v>
      </c>
      <c r="J32" s="74" t="s">
        <v>157</v>
      </c>
      <c r="K32" s="72" t="s">
        <v>158</v>
      </c>
      <c r="L32" s="67">
        <v>49.7</v>
      </c>
      <c r="M32" s="120">
        <f>IF(ISNA(VLOOKUP($R$7,$AB$2:$BS$4,20,)),"", (VLOOKUP($R$7,$AB$2:$BS$4,20,)))</f>
        <v>0.51</v>
      </c>
      <c r="N32" s="57">
        <f t="shared" si="8"/>
        <v>49.190000000000005</v>
      </c>
      <c r="O32" s="43">
        <f t="shared" si="9"/>
        <v>0</v>
      </c>
      <c r="P32" s="44">
        <f t="shared" si="10"/>
        <v>49.190000000000005</v>
      </c>
      <c r="Q32" s="45">
        <f t="shared" si="11"/>
        <v>49.190000000000005</v>
      </c>
      <c r="R32" s="46">
        <f t="shared" si="5"/>
        <v>2.1381600000000001</v>
      </c>
      <c r="S32" s="150">
        <v>4.72</v>
      </c>
      <c r="T32" s="46">
        <f t="shared" si="6"/>
        <v>47.051840000000006</v>
      </c>
      <c r="U32" s="46">
        <f t="shared" si="12"/>
        <v>0.2800704761904762</v>
      </c>
      <c r="V32" s="47">
        <f t="shared" si="7"/>
        <v>47.051840000000006</v>
      </c>
      <c r="W32" s="10"/>
    </row>
    <row r="33" spans="1:23" ht="15" customHeight="1" x14ac:dyDescent="0.2">
      <c r="A33" s="58" t="s">
        <v>159</v>
      </c>
      <c r="B33" s="70" t="s">
        <v>18</v>
      </c>
      <c r="C33" s="75" t="s">
        <v>160</v>
      </c>
      <c r="D33" s="125" t="s">
        <v>161</v>
      </c>
      <c r="E33" s="59" t="s">
        <v>162</v>
      </c>
      <c r="F33" s="71">
        <v>84</v>
      </c>
      <c r="G33" s="71">
        <v>15</v>
      </c>
      <c r="H33" s="61">
        <v>13.13</v>
      </c>
      <c r="I33" s="62">
        <v>0.74</v>
      </c>
      <c r="J33" s="58" t="s">
        <v>163</v>
      </c>
      <c r="K33" s="72" t="s">
        <v>153</v>
      </c>
      <c r="L33" s="67">
        <v>19.75</v>
      </c>
      <c r="M33" s="120">
        <f>IF(ISNA(VLOOKUP($R$7,$AB$2:$BS$4,21,)),"", (VLOOKUP($R$7,$AB$2:$BS$4,21,)))</f>
        <v>0.26</v>
      </c>
      <c r="N33" s="57">
        <f t="shared" si="8"/>
        <v>19.489999999999998</v>
      </c>
      <c r="O33" s="43">
        <f t="shared" si="9"/>
        <v>0</v>
      </c>
      <c r="P33" s="44">
        <f t="shared" si="10"/>
        <v>19.489999999999998</v>
      </c>
      <c r="Q33" s="45">
        <f t="shared" si="11"/>
        <v>19.489999999999998</v>
      </c>
      <c r="R33" s="46">
        <f t="shared" si="5"/>
        <v>1.6625099999999999</v>
      </c>
      <c r="S33" s="150">
        <v>3.67</v>
      </c>
      <c r="T33" s="46">
        <f t="shared" si="6"/>
        <v>17.827489999999997</v>
      </c>
      <c r="U33" s="46">
        <f t="shared" si="12"/>
        <v>0.21223202380952377</v>
      </c>
      <c r="V33" s="47">
        <f t="shared" si="7"/>
        <v>17.827489999999997</v>
      </c>
      <c r="W33" s="10"/>
    </row>
    <row r="34" spans="1:23" ht="15" customHeight="1" x14ac:dyDescent="0.2">
      <c r="A34" s="58" t="s">
        <v>164</v>
      </c>
      <c r="B34" s="124" t="s">
        <v>19</v>
      </c>
      <c r="C34" s="75" t="s">
        <v>165</v>
      </c>
      <c r="D34" s="125" t="s">
        <v>166</v>
      </c>
      <c r="E34" s="59" t="s">
        <v>162</v>
      </c>
      <c r="F34" s="71">
        <v>168</v>
      </c>
      <c r="G34" s="71">
        <v>29</v>
      </c>
      <c r="H34" s="61">
        <v>26.25</v>
      </c>
      <c r="I34" s="62">
        <v>1.57</v>
      </c>
      <c r="J34" s="74" t="s">
        <v>157</v>
      </c>
      <c r="K34" s="72" t="s">
        <v>167</v>
      </c>
      <c r="L34" s="67">
        <v>38</v>
      </c>
      <c r="M34" s="120">
        <f>IF(ISNA(VLOOKUP($R$7,$AB$2:$BS$4,22,)),"", (VLOOKUP($R$7,$AB$2:$BS$4,22,)))</f>
        <v>0.26</v>
      </c>
      <c r="N34" s="57">
        <f t="shared" si="8"/>
        <v>37.74</v>
      </c>
      <c r="O34" s="43">
        <f t="shared" si="9"/>
        <v>0</v>
      </c>
      <c r="P34" s="44">
        <f t="shared" si="10"/>
        <v>37.74</v>
      </c>
      <c r="Q34" s="45">
        <f t="shared" si="11"/>
        <v>37.74</v>
      </c>
      <c r="R34" s="46">
        <f t="shared" si="5"/>
        <v>3.3204899999999999</v>
      </c>
      <c r="S34" s="150">
        <v>7.33</v>
      </c>
      <c r="T34" s="46">
        <f t="shared" si="6"/>
        <v>34.419510000000002</v>
      </c>
      <c r="U34" s="46">
        <f t="shared" si="12"/>
        <v>0.20487803571428573</v>
      </c>
      <c r="V34" s="47">
        <f t="shared" si="7"/>
        <v>34.419510000000002</v>
      </c>
      <c r="W34" s="10"/>
    </row>
    <row r="35" spans="1:23" ht="15" customHeight="1" x14ac:dyDescent="0.2">
      <c r="A35" s="214" t="s">
        <v>300</v>
      </c>
      <c r="B35" s="215"/>
      <c r="C35" s="216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10"/>
    </row>
    <row r="36" spans="1:23" ht="15" customHeight="1" x14ac:dyDescent="0.2">
      <c r="A36" s="58" t="s">
        <v>124</v>
      </c>
      <c r="B36" s="59" t="s">
        <v>9</v>
      </c>
      <c r="C36" s="126" t="s">
        <v>252</v>
      </c>
      <c r="D36" s="125" t="s">
        <v>125</v>
      </c>
      <c r="E36" s="125" t="s">
        <v>121</v>
      </c>
      <c r="F36" s="52">
        <v>2</v>
      </c>
      <c r="G36" s="59">
        <v>31</v>
      </c>
      <c r="H36" s="61">
        <v>29</v>
      </c>
      <c r="I36" s="62">
        <v>0.56000000000000005</v>
      </c>
      <c r="J36" s="59" t="s">
        <v>114</v>
      </c>
      <c r="K36" s="55" t="s">
        <v>118</v>
      </c>
      <c r="L36" s="56">
        <v>14.95</v>
      </c>
      <c r="M36" s="120">
        <f>IF(ISNA(VLOOKUP($R$7,$AB$2:$BS$4,23,)),"", (VLOOKUP($R$7,$AB$2:$BS$4,23,)))</f>
        <v>0.26</v>
      </c>
      <c r="N36" s="57">
        <f>L36-M36</f>
        <v>14.69</v>
      </c>
      <c r="O36" s="43">
        <f t="shared" ref="O36:O41" si="13">(G36*$O$11/100)</f>
        <v>0</v>
      </c>
      <c r="P36" s="44">
        <f t="shared" ref="P36:P41" si="14">IF(M36&gt;5,M36+O36,N36+O36)</f>
        <v>14.69</v>
      </c>
      <c r="Q36" s="45">
        <f t="shared" ref="Q36:Q41" si="15">IF(M36&gt;5,(M36+($Q$11*G36/100)),(N36+($Q$11*G36/100)))</f>
        <v>14.69</v>
      </c>
      <c r="R36" s="46">
        <f>SUM(S36*$S$8)</f>
        <v>2.9897999999999998</v>
      </c>
      <c r="S36" s="150">
        <v>6.6</v>
      </c>
      <c r="T36" s="46">
        <f>P36-R36</f>
        <v>11.700199999999999</v>
      </c>
      <c r="U36" s="46">
        <f>T36/F36</f>
        <v>5.8500999999999994</v>
      </c>
      <c r="V36" s="47">
        <f>Q36-R36</f>
        <v>11.700199999999999</v>
      </c>
      <c r="W36" s="10"/>
    </row>
    <row r="37" spans="1:23" ht="15" customHeight="1" x14ac:dyDescent="0.2">
      <c r="A37" s="58" t="s">
        <v>126</v>
      </c>
      <c r="B37" s="59" t="s">
        <v>10</v>
      </c>
      <c r="C37" s="126" t="s">
        <v>251</v>
      </c>
      <c r="D37" s="125" t="s">
        <v>125</v>
      </c>
      <c r="E37" s="125" t="s">
        <v>121</v>
      </c>
      <c r="F37" s="59">
        <v>2</v>
      </c>
      <c r="G37" s="64">
        <v>31</v>
      </c>
      <c r="H37" s="61">
        <v>29</v>
      </c>
      <c r="I37" s="62">
        <v>0.56000000000000005</v>
      </c>
      <c r="J37" s="59" t="s">
        <v>114</v>
      </c>
      <c r="K37" s="55" t="s">
        <v>118</v>
      </c>
      <c r="L37" s="56">
        <v>17.3</v>
      </c>
      <c r="M37" s="120">
        <f>IF(ISNA(VLOOKUP($R$7,$AB$2:$BS$4,24,)),"", (VLOOKUP($R$7,$AB$2:$BS$4,24,)))</f>
        <v>0.51</v>
      </c>
      <c r="N37" s="57">
        <f>L37-M37</f>
        <v>16.79</v>
      </c>
      <c r="O37" s="43">
        <f t="shared" si="13"/>
        <v>0</v>
      </c>
      <c r="P37" s="44">
        <f t="shared" si="14"/>
        <v>16.79</v>
      </c>
      <c r="Q37" s="45">
        <f t="shared" si="15"/>
        <v>16.79</v>
      </c>
      <c r="R37" s="46">
        <f>SUM(S37*$S$8)</f>
        <v>3.1392899999999999</v>
      </c>
      <c r="S37" s="150">
        <v>6.93</v>
      </c>
      <c r="T37" s="46">
        <f>P37-R37</f>
        <v>13.65071</v>
      </c>
      <c r="U37" s="46">
        <f>T37/F37</f>
        <v>6.8253550000000001</v>
      </c>
      <c r="V37" s="47">
        <f>Q37-R37</f>
        <v>13.65071</v>
      </c>
      <c r="W37" s="10"/>
    </row>
    <row r="38" spans="1:23" ht="15" customHeight="1" x14ac:dyDescent="0.2">
      <c r="A38" s="58" t="s">
        <v>172</v>
      </c>
      <c r="B38" s="59" t="s">
        <v>173</v>
      </c>
      <c r="C38" s="126" t="s">
        <v>259</v>
      </c>
      <c r="D38" s="125" t="s">
        <v>125</v>
      </c>
      <c r="E38" s="125" t="s">
        <v>121</v>
      </c>
      <c r="F38" s="52">
        <v>2</v>
      </c>
      <c r="G38" s="59">
        <v>31</v>
      </c>
      <c r="H38" s="61">
        <v>29</v>
      </c>
      <c r="I38" s="62">
        <v>0.56000000000000005</v>
      </c>
      <c r="J38" s="59" t="s">
        <v>114</v>
      </c>
      <c r="K38" s="125" t="s">
        <v>118</v>
      </c>
      <c r="L38" s="67">
        <v>22.5</v>
      </c>
      <c r="M38" s="120">
        <f>IF(ISNA(VLOOKUP($R$7,$AB$2:$BS$4,25,)),"", (VLOOKUP($R$7,$AB$2:$BS$4,25,)))</f>
        <v>0.51</v>
      </c>
      <c r="N38" s="57">
        <f>L38-M38</f>
        <v>21.99</v>
      </c>
      <c r="O38" s="43">
        <f t="shared" si="13"/>
        <v>0</v>
      </c>
      <c r="P38" s="44">
        <f t="shared" si="14"/>
        <v>21.99</v>
      </c>
      <c r="Q38" s="45">
        <f t="shared" si="15"/>
        <v>21.99</v>
      </c>
      <c r="R38" s="46">
        <f>SUM(S38*$S$8)</f>
        <v>1.73499</v>
      </c>
      <c r="S38" s="151">
        <v>3.83</v>
      </c>
      <c r="T38" s="46">
        <f>P38-R38</f>
        <v>20.255009999999999</v>
      </c>
      <c r="U38" s="46">
        <f>T38/F38</f>
        <v>10.127504999999999</v>
      </c>
      <c r="V38" s="47">
        <f>Q38-R38</f>
        <v>20.255009999999999</v>
      </c>
      <c r="W38" s="10"/>
    </row>
    <row r="39" spans="1:23" ht="15" customHeight="1" x14ac:dyDescent="0.2">
      <c r="A39" s="79" t="s">
        <v>174</v>
      </c>
      <c r="B39" s="127" t="s">
        <v>175</v>
      </c>
      <c r="C39" s="128" t="s">
        <v>275</v>
      </c>
      <c r="D39" s="129" t="s">
        <v>125</v>
      </c>
      <c r="E39" s="129" t="s">
        <v>121</v>
      </c>
      <c r="F39" s="127">
        <v>2</v>
      </c>
      <c r="G39" s="59">
        <v>31</v>
      </c>
      <c r="H39" s="130">
        <v>29</v>
      </c>
      <c r="I39" s="131">
        <v>0.56000000000000005</v>
      </c>
      <c r="J39" s="127" t="s">
        <v>114</v>
      </c>
      <c r="K39" s="129" t="s">
        <v>118</v>
      </c>
      <c r="L39" s="142">
        <v>14.45</v>
      </c>
      <c r="M39" s="120">
        <f>IF(ISNA(VLOOKUP($R$7,$AB$2:$BS$4,26,)),"", (VLOOKUP($R$7,$AB$2:$BS$4,26,)))</f>
        <v>0.26</v>
      </c>
      <c r="N39" s="132">
        <f>L39-M39</f>
        <v>14.19</v>
      </c>
      <c r="O39" s="133">
        <f t="shared" si="13"/>
        <v>0</v>
      </c>
      <c r="P39" s="134">
        <f t="shared" si="14"/>
        <v>14.19</v>
      </c>
      <c r="Q39" s="135">
        <f t="shared" si="15"/>
        <v>14.19</v>
      </c>
      <c r="R39" s="136" t="s">
        <v>176</v>
      </c>
      <c r="S39" s="152" t="s">
        <v>176</v>
      </c>
      <c r="T39" s="136" t="s">
        <v>176</v>
      </c>
      <c r="U39" s="136" t="s">
        <v>176</v>
      </c>
      <c r="V39" s="136" t="s">
        <v>176</v>
      </c>
      <c r="W39" s="10"/>
    </row>
    <row r="40" spans="1:23" ht="15" customHeight="1" x14ac:dyDescent="0.2">
      <c r="A40" s="137" t="s">
        <v>283</v>
      </c>
      <c r="B40" s="138" t="s">
        <v>276</v>
      </c>
      <c r="C40" s="137" t="s">
        <v>274</v>
      </c>
      <c r="D40" s="129" t="s">
        <v>125</v>
      </c>
      <c r="E40" s="129" t="s">
        <v>121</v>
      </c>
      <c r="F40" s="127">
        <v>2</v>
      </c>
      <c r="G40" s="59">
        <v>31</v>
      </c>
      <c r="H40" s="130">
        <v>29</v>
      </c>
      <c r="I40" s="131">
        <v>0.56000000000000005</v>
      </c>
      <c r="J40" s="127" t="s">
        <v>114</v>
      </c>
      <c r="K40" s="129" t="s">
        <v>118</v>
      </c>
      <c r="L40" s="146">
        <v>21.95</v>
      </c>
      <c r="M40" s="120">
        <f>IF(ISNA(VLOOKUP($R$7,$AB$2:$BS$4,27,)),"", (VLOOKUP($R$7,$AB$2:$BS$4,27,)))</f>
        <v>0.26</v>
      </c>
      <c r="N40" s="132">
        <f>L40-M40</f>
        <v>21.689999999999998</v>
      </c>
      <c r="O40" s="133">
        <f t="shared" si="13"/>
        <v>0</v>
      </c>
      <c r="P40" s="134">
        <f t="shared" si="14"/>
        <v>21.689999999999998</v>
      </c>
      <c r="Q40" s="135">
        <f t="shared" si="15"/>
        <v>21.689999999999998</v>
      </c>
      <c r="R40" s="136" t="s">
        <v>176</v>
      </c>
      <c r="S40" s="152" t="s">
        <v>176</v>
      </c>
      <c r="T40" s="136" t="s">
        <v>176</v>
      </c>
      <c r="U40" s="136" t="s">
        <v>176</v>
      </c>
      <c r="V40" s="136" t="s">
        <v>176</v>
      </c>
    </row>
    <row r="41" spans="1:23" ht="15" customHeight="1" x14ac:dyDescent="0.2">
      <c r="A41" s="137" t="s">
        <v>284</v>
      </c>
      <c r="B41" s="138" t="s">
        <v>285</v>
      </c>
      <c r="C41" s="137" t="s">
        <v>256</v>
      </c>
      <c r="D41" s="129" t="s">
        <v>125</v>
      </c>
      <c r="E41" s="129" t="s">
        <v>121</v>
      </c>
      <c r="F41" s="127">
        <v>2</v>
      </c>
      <c r="G41" s="59">
        <v>31</v>
      </c>
      <c r="H41" s="130">
        <v>29</v>
      </c>
      <c r="I41" s="131">
        <v>0.56000000000000005</v>
      </c>
      <c r="J41" s="127" t="s">
        <v>114</v>
      </c>
      <c r="K41" s="129" t="s">
        <v>118</v>
      </c>
      <c r="L41" s="138" t="s">
        <v>176</v>
      </c>
      <c r="M41" s="120">
        <f>IF(ISNA(VLOOKUP($R$7,$AB$2:$BS$4,28,)),"", (VLOOKUP($R$7,$AB$2:$BS$4,28,)))</f>
        <v>0</v>
      </c>
      <c r="N41" s="137"/>
      <c r="O41" s="133">
        <f t="shared" si="13"/>
        <v>0</v>
      </c>
      <c r="P41" s="134">
        <f t="shared" si="14"/>
        <v>0</v>
      </c>
      <c r="Q41" s="135">
        <f t="shared" si="15"/>
        <v>0</v>
      </c>
      <c r="R41" s="136" t="s">
        <v>176</v>
      </c>
      <c r="S41" s="152" t="s">
        <v>176</v>
      </c>
      <c r="T41" s="136" t="s">
        <v>176</v>
      </c>
      <c r="U41" s="136" t="s">
        <v>176</v>
      </c>
      <c r="V41" s="136" t="s">
        <v>176</v>
      </c>
    </row>
    <row r="42" spans="1:23" ht="15" customHeight="1" x14ac:dyDescent="0.2">
      <c r="A42" s="214" t="s">
        <v>301</v>
      </c>
      <c r="B42" s="215"/>
      <c r="C42" s="216"/>
      <c r="D42" s="21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10"/>
    </row>
    <row r="43" spans="1:23" ht="15" customHeight="1" x14ac:dyDescent="0.2">
      <c r="A43" s="58" t="s">
        <v>177</v>
      </c>
      <c r="B43" s="124" t="s">
        <v>22</v>
      </c>
      <c r="C43" s="139" t="s">
        <v>264</v>
      </c>
      <c r="D43" s="125" t="s">
        <v>90</v>
      </c>
      <c r="E43" s="125" t="s">
        <v>178</v>
      </c>
      <c r="F43" s="52">
        <v>6</v>
      </c>
      <c r="G43" s="52">
        <v>45</v>
      </c>
      <c r="H43" s="61">
        <v>38.6</v>
      </c>
      <c r="I43" s="76">
        <v>1</v>
      </c>
      <c r="J43" s="59" t="s">
        <v>92</v>
      </c>
      <c r="K43" s="55" t="s">
        <v>93</v>
      </c>
      <c r="L43" s="77">
        <v>24.05</v>
      </c>
      <c r="M43" s="120">
        <f>IF(ISNA(VLOOKUP($R$7,$AB$2:$BS$4,29,)),"", (VLOOKUP($R$7,$AB$2:$BS$4,29,)))</f>
        <v>0.26</v>
      </c>
      <c r="N43" s="147">
        <f t="shared" ref="N43:N61" si="16">L43-M43</f>
        <v>23.79</v>
      </c>
      <c r="O43" s="43">
        <f t="shared" ref="O43:O61" si="17">(G43*$O$11/100)</f>
        <v>0</v>
      </c>
      <c r="P43" s="43">
        <f t="shared" ref="P43:P61" si="18">IF(M43&gt;5,M43+O43,N43+O43)</f>
        <v>23.79</v>
      </c>
      <c r="Q43" s="148">
        <f t="shared" ref="Q43:Q61" si="19">IF(M43&gt;5,(M43+($Q$11*G43/100)),(N43+($Q$11*G43/100)))</f>
        <v>23.79</v>
      </c>
      <c r="R43" s="46">
        <f t="shared" si="5"/>
        <v>2.6727000000000003</v>
      </c>
      <c r="S43" s="153">
        <v>5.9</v>
      </c>
      <c r="T43" s="78">
        <f t="shared" si="6"/>
        <v>21.1173</v>
      </c>
      <c r="U43" s="78">
        <f t="shared" ref="U43:U58" si="20">T43/F43</f>
        <v>3.5195500000000002</v>
      </c>
      <c r="V43" s="47">
        <f t="shared" si="7"/>
        <v>21.1173</v>
      </c>
      <c r="W43" s="10"/>
    </row>
    <row r="44" spans="1:23" ht="15" customHeight="1" x14ac:dyDescent="0.2">
      <c r="A44" s="58" t="s">
        <v>179</v>
      </c>
      <c r="B44" s="124" t="s">
        <v>23</v>
      </c>
      <c r="C44" s="50" t="s">
        <v>180</v>
      </c>
      <c r="D44" s="125" t="s">
        <v>90</v>
      </c>
      <c r="E44" s="125" t="s">
        <v>181</v>
      </c>
      <c r="F44" s="52">
        <v>6</v>
      </c>
      <c r="G44" s="52">
        <v>45</v>
      </c>
      <c r="H44" s="61">
        <v>39.75</v>
      </c>
      <c r="I44" s="76">
        <v>1</v>
      </c>
      <c r="J44" s="59" t="s">
        <v>92</v>
      </c>
      <c r="K44" s="55" t="s">
        <v>93</v>
      </c>
      <c r="L44" s="77">
        <v>22.05</v>
      </c>
      <c r="M44" s="120">
        <f>IF(ISNA(VLOOKUP($R$7,$AB$2:$BS$4,30,)),"", (VLOOKUP($R$7,$AB$2:$BS$4,30,)))</f>
        <v>0.26</v>
      </c>
      <c r="N44" s="147">
        <f t="shared" si="16"/>
        <v>21.79</v>
      </c>
      <c r="O44" s="43">
        <f t="shared" si="17"/>
        <v>0</v>
      </c>
      <c r="P44" s="43">
        <f t="shared" si="18"/>
        <v>21.79</v>
      </c>
      <c r="Q44" s="148">
        <f t="shared" si="19"/>
        <v>21.79</v>
      </c>
      <c r="R44" s="46">
        <f t="shared" si="5"/>
        <v>2.3646599999999998</v>
      </c>
      <c r="S44" s="153">
        <v>5.22</v>
      </c>
      <c r="T44" s="78">
        <f t="shared" si="6"/>
        <v>19.425339999999998</v>
      </c>
      <c r="U44" s="78">
        <f t="shared" si="20"/>
        <v>3.2375566666666664</v>
      </c>
      <c r="V44" s="47">
        <f t="shared" si="7"/>
        <v>19.425339999999998</v>
      </c>
      <c r="W44" s="10"/>
    </row>
    <row r="45" spans="1:23" ht="15" customHeight="1" x14ac:dyDescent="0.2">
      <c r="A45" s="58" t="s">
        <v>182</v>
      </c>
      <c r="B45" s="124" t="s">
        <v>24</v>
      </c>
      <c r="C45" s="140" t="s">
        <v>265</v>
      </c>
      <c r="D45" s="125" t="s">
        <v>90</v>
      </c>
      <c r="E45" s="125" t="s">
        <v>181</v>
      </c>
      <c r="F45" s="52">
        <v>6</v>
      </c>
      <c r="G45" s="52">
        <v>45</v>
      </c>
      <c r="H45" s="61">
        <v>39.75</v>
      </c>
      <c r="I45" s="62">
        <v>1</v>
      </c>
      <c r="J45" s="59" t="s">
        <v>92</v>
      </c>
      <c r="K45" s="55" t="s">
        <v>93</v>
      </c>
      <c r="L45" s="77">
        <v>23.5</v>
      </c>
      <c r="M45" s="120">
        <f>IF(ISNA(VLOOKUP($R$7,$AB$2:$BS$4,31,)),"", (VLOOKUP($R$7,$AB$2:$BS$4,31,)))</f>
        <v>0.51</v>
      </c>
      <c r="N45" s="147">
        <f t="shared" si="16"/>
        <v>22.99</v>
      </c>
      <c r="O45" s="43">
        <f t="shared" si="17"/>
        <v>0</v>
      </c>
      <c r="P45" s="43">
        <f t="shared" si="18"/>
        <v>22.99</v>
      </c>
      <c r="Q45" s="148">
        <f t="shared" si="19"/>
        <v>22.99</v>
      </c>
      <c r="R45" s="46">
        <f t="shared" si="5"/>
        <v>4.6749600000000004</v>
      </c>
      <c r="S45" s="153">
        <v>10.32</v>
      </c>
      <c r="T45" s="78">
        <f t="shared" si="6"/>
        <v>18.315039999999996</v>
      </c>
      <c r="U45" s="78">
        <f t="shared" si="20"/>
        <v>3.052506666666666</v>
      </c>
      <c r="V45" s="47">
        <f t="shared" si="7"/>
        <v>18.315039999999996</v>
      </c>
      <c r="W45" s="10"/>
    </row>
    <row r="46" spans="1:23" ht="15" customHeight="1" x14ac:dyDescent="0.2">
      <c r="A46" s="79" t="s">
        <v>183</v>
      </c>
      <c r="B46" s="124" t="s">
        <v>25</v>
      </c>
      <c r="C46" s="75" t="s">
        <v>184</v>
      </c>
      <c r="D46" s="125" t="s">
        <v>90</v>
      </c>
      <c r="E46" s="125" t="s">
        <v>181</v>
      </c>
      <c r="F46" s="52">
        <v>6</v>
      </c>
      <c r="G46" s="52">
        <v>45</v>
      </c>
      <c r="H46" s="61">
        <v>39.75</v>
      </c>
      <c r="I46" s="62">
        <v>1</v>
      </c>
      <c r="J46" s="59" t="s">
        <v>92</v>
      </c>
      <c r="K46" s="55" t="s">
        <v>93</v>
      </c>
      <c r="L46" s="77">
        <v>21.2</v>
      </c>
      <c r="M46" s="120">
        <f>IF(ISNA(VLOOKUP($R$7,$AB$2:$BS$4,32,)),"", (VLOOKUP($R$7,$AB$2:$BS$4,32,)))</f>
        <v>0.26</v>
      </c>
      <c r="N46" s="147">
        <f t="shared" si="16"/>
        <v>20.939999999999998</v>
      </c>
      <c r="O46" s="43">
        <f t="shared" si="17"/>
        <v>0</v>
      </c>
      <c r="P46" s="43">
        <f t="shared" si="18"/>
        <v>20.939999999999998</v>
      </c>
      <c r="Q46" s="148">
        <f t="shared" si="19"/>
        <v>20.939999999999998</v>
      </c>
      <c r="R46" s="46">
        <f t="shared" si="5"/>
        <v>4.8335100000000004</v>
      </c>
      <c r="S46" s="153">
        <v>10.67</v>
      </c>
      <c r="T46" s="78">
        <f t="shared" si="6"/>
        <v>16.106489999999997</v>
      </c>
      <c r="U46" s="78">
        <f t="shared" si="20"/>
        <v>2.6844149999999996</v>
      </c>
      <c r="V46" s="47">
        <f t="shared" si="7"/>
        <v>16.106489999999997</v>
      </c>
      <c r="W46" s="10"/>
    </row>
    <row r="47" spans="1:23" ht="15" customHeight="1" x14ac:dyDescent="0.2">
      <c r="A47" s="80" t="s">
        <v>185</v>
      </c>
      <c r="B47" s="81" t="s">
        <v>26</v>
      </c>
      <c r="C47" s="121" t="s">
        <v>266</v>
      </c>
      <c r="D47" s="125" t="s">
        <v>90</v>
      </c>
      <c r="E47" s="49" t="s">
        <v>181</v>
      </c>
      <c r="F47" s="52">
        <v>6</v>
      </c>
      <c r="G47" s="52">
        <v>45</v>
      </c>
      <c r="H47" s="53">
        <v>39.380000000000003</v>
      </c>
      <c r="I47" s="62">
        <v>1</v>
      </c>
      <c r="J47" s="59" t="s">
        <v>92</v>
      </c>
      <c r="K47" s="55" t="s">
        <v>93</v>
      </c>
      <c r="L47" s="77">
        <v>26.6</v>
      </c>
      <c r="M47" s="120">
        <f>IF(ISNA(VLOOKUP($R$7,$AB$2:$BS$4,33,)),"", (VLOOKUP($R$7,$AB$2:$BS$4,33,)))</f>
        <v>0.51</v>
      </c>
      <c r="N47" s="147">
        <f t="shared" si="16"/>
        <v>26.09</v>
      </c>
      <c r="O47" s="43">
        <f t="shared" si="17"/>
        <v>0</v>
      </c>
      <c r="P47" s="43">
        <f t="shared" si="18"/>
        <v>26.09</v>
      </c>
      <c r="Q47" s="148">
        <f t="shared" si="19"/>
        <v>26.09</v>
      </c>
      <c r="R47" s="46">
        <f t="shared" si="5"/>
        <v>3.3204899999999999</v>
      </c>
      <c r="S47" s="153">
        <v>7.33</v>
      </c>
      <c r="T47" s="78">
        <f t="shared" si="6"/>
        <v>22.76951</v>
      </c>
      <c r="U47" s="78">
        <f t="shared" si="20"/>
        <v>3.7949183333333334</v>
      </c>
      <c r="V47" s="47">
        <f t="shared" si="7"/>
        <v>22.76951</v>
      </c>
      <c r="W47" s="10"/>
    </row>
    <row r="48" spans="1:23" ht="15" customHeight="1" x14ac:dyDescent="0.2">
      <c r="A48" s="58" t="s">
        <v>186</v>
      </c>
      <c r="B48" s="124" t="s">
        <v>27</v>
      </c>
      <c r="C48" s="75" t="s">
        <v>187</v>
      </c>
      <c r="D48" s="125" t="s">
        <v>90</v>
      </c>
      <c r="E48" s="125" t="s">
        <v>188</v>
      </c>
      <c r="F48" s="52">
        <v>6</v>
      </c>
      <c r="G48" s="52">
        <v>45</v>
      </c>
      <c r="H48" s="61">
        <v>39.380000000000003</v>
      </c>
      <c r="I48" s="76">
        <v>1</v>
      </c>
      <c r="J48" s="59" t="s">
        <v>92</v>
      </c>
      <c r="K48" s="55" t="s">
        <v>93</v>
      </c>
      <c r="L48" s="77">
        <v>24.3</v>
      </c>
      <c r="M48" s="120">
        <f>IF(ISNA(VLOOKUP($R$7,$AB$2:$BS$4,34,)),"", (VLOOKUP($R$7,$AB$2:$BS$4,34,)))</f>
        <v>0.26</v>
      </c>
      <c r="N48" s="147">
        <f t="shared" si="16"/>
        <v>24.04</v>
      </c>
      <c r="O48" s="43">
        <f t="shared" si="17"/>
        <v>0</v>
      </c>
      <c r="P48" s="43">
        <f t="shared" si="18"/>
        <v>24.04</v>
      </c>
      <c r="Q48" s="148">
        <f t="shared" si="19"/>
        <v>24.04</v>
      </c>
      <c r="R48" s="46">
        <f t="shared" si="5"/>
        <v>3.4065599999999998</v>
      </c>
      <c r="S48" s="153">
        <v>7.52</v>
      </c>
      <c r="T48" s="78">
        <f t="shared" si="6"/>
        <v>20.63344</v>
      </c>
      <c r="U48" s="78">
        <f t="shared" si="20"/>
        <v>3.4389066666666666</v>
      </c>
      <c r="V48" s="47">
        <f t="shared" si="7"/>
        <v>20.63344</v>
      </c>
      <c r="W48" s="10"/>
    </row>
    <row r="49" spans="1:23" ht="15" customHeight="1" x14ac:dyDescent="0.2">
      <c r="A49" s="80" t="s">
        <v>189</v>
      </c>
      <c r="B49" s="81" t="s">
        <v>28</v>
      </c>
      <c r="C49" s="121" t="s">
        <v>267</v>
      </c>
      <c r="D49" s="125" t="s">
        <v>90</v>
      </c>
      <c r="E49" s="49" t="s">
        <v>181</v>
      </c>
      <c r="F49" s="52">
        <v>6</v>
      </c>
      <c r="G49" s="83">
        <v>45</v>
      </c>
      <c r="H49" s="53">
        <v>39.75</v>
      </c>
      <c r="I49" s="76">
        <v>1</v>
      </c>
      <c r="J49" s="59" t="s">
        <v>92</v>
      </c>
      <c r="K49" s="55" t="s">
        <v>93</v>
      </c>
      <c r="L49" s="77">
        <v>24.85</v>
      </c>
      <c r="M49" s="120">
        <f>IF(ISNA(VLOOKUP($R$7,$AB$2:$BS$4,35,)),"", (VLOOKUP($R$7,$AB$2:$BS$4,35,)))</f>
        <v>0.51</v>
      </c>
      <c r="N49" s="147">
        <f t="shared" si="16"/>
        <v>24.34</v>
      </c>
      <c r="O49" s="43">
        <f t="shared" si="17"/>
        <v>0</v>
      </c>
      <c r="P49" s="43">
        <f t="shared" si="18"/>
        <v>24.34</v>
      </c>
      <c r="Q49" s="148">
        <f t="shared" si="19"/>
        <v>24.34</v>
      </c>
      <c r="R49" s="46">
        <f t="shared" si="5"/>
        <v>5.5537799999999997</v>
      </c>
      <c r="S49" s="153">
        <v>12.26</v>
      </c>
      <c r="T49" s="78">
        <f t="shared" si="6"/>
        <v>18.78622</v>
      </c>
      <c r="U49" s="78">
        <f t="shared" si="20"/>
        <v>3.1310366666666667</v>
      </c>
      <c r="V49" s="47">
        <f t="shared" si="7"/>
        <v>18.78622</v>
      </c>
      <c r="W49" s="10"/>
    </row>
    <row r="50" spans="1:23" ht="15" customHeight="1" x14ac:dyDescent="0.2">
      <c r="A50" s="32" t="s">
        <v>190</v>
      </c>
      <c r="B50" s="84" t="s">
        <v>29</v>
      </c>
      <c r="C50" s="85" t="s">
        <v>191</v>
      </c>
      <c r="D50" s="35" t="s">
        <v>90</v>
      </c>
      <c r="E50" s="35" t="s">
        <v>181</v>
      </c>
      <c r="F50" s="36">
        <v>6</v>
      </c>
      <c r="G50" s="33">
        <v>46</v>
      </c>
      <c r="H50" s="37">
        <v>39.75</v>
      </c>
      <c r="I50" s="38">
        <v>1</v>
      </c>
      <c r="J50" s="33" t="s">
        <v>92</v>
      </c>
      <c r="K50" s="39" t="s">
        <v>93</v>
      </c>
      <c r="L50" s="86">
        <v>22.55</v>
      </c>
      <c r="M50" s="120">
        <f>IF(ISNA(VLOOKUP($R$7,$AB$2:$BS$4,36,)),"", (VLOOKUP($R$7,$AB$2:$BS$4,36,)))</f>
        <v>0.26</v>
      </c>
      <c r="N50" s="149">
        <f t="shared" si="16"/>
        <v>22.29</v>
      </c>
      <c r="O50" s="43">
        <f t="shared" si="17"/>
        <v>0</v>
      </c>
      <c r="P50" s="43">
        <f t="shared" si="18"/>
        <v>22.29</v>
      </c>
      <c r="Q50" s="148">
        <f t="shared" si="19"/>
        <v>22.29</v>
      </c>
      <c r="R50" s="46">
        <f t="shared" si="5"/>
        <v>5.5537799999999997</v>
      </c>
      <c r="S50" s="151">
        <v>12.26</v>
      </c>
      <c r="T50" s="78">
        <f t="shared" si="6"/>
        <v>16.736219999999999</v>
      </c>
      <c r="U50" s="78">
        <f t="shared" si="20"/>
        <v>2.7893699999999999</v>
      </c>
      <c r="V50" s="47">
        <f t="shared" si="7"/>
        <v>16.736219999999999</v>
      </c>
      <c r="W50" s="10"/>
    </row>
    <row r="51" spans="1:23" ht="15" customHeight="1" x14ac:dyDescent="0.2">
      <c r="A51" s="32" t="s">
        <v>192</v>
      </c>
      <c r="B51" s="84" t="s">
        <v>30</v>
      </c>
      <c r="C51" s="85" t="s">
        <v>193</v>
      </c>
      <c r="D51" s="35" t="s">
        <v>90</v>
      </c>
      <c r="E51" s="35" t="s">
        <v>188</v>
      </c>
      <c r="F51" s="36">
        <v>6</v>
      </c>
      <c r="G51" s="33">
        <v>46</v>
      </c>
      <c r="H51" s="37">
        <v>39.380000000000003</v>
      </c>
      <c r="I51" s="38">
        <v>1</v>
      </c>
      <c r="J51" s="33" t="s">
        <v>92</v>
      </c>
      <c r="K51" s="39" t="s">
        <v>93</v>
      </c>
      <c r="L51" s="86">
        <v>18.149999999999999</v>
      </c>
      <c r="M51" s="120">
        <f>IF(ISNA(VLOOKUP($R$7,$AB$2:$BS$4,37,)),"", (VLOOKUP($R$7,$AB$2:$BS$4,37,)))</f>
        <v>0.26</v>
      </c>
      <c r="N51" s="149">
        <f t="shared" si="16"/>
        <v>17.889999999999997</v>
      </c>
      <c r="O51" s="43">
        <f t="shared" si="17"/>
        <v>0</v>
      </c>
      <c r="P51" s="43">
        <f t="shared" si="18"/>
        <v>17.889999999999997</v>
      </c>
      <c r="Q51" s="148">
        <f t="shared" si="19"/>
        <v>17.889999999999997</v>
      </c>
      <c r="R51" s="46">
        <f t="shared" si="5"/>
        <v>6.9535499999999999</v>
      </c>
      <c r="S51" s="153">
        <v>15.35</v>
      </c>
      <c r="T51" s="78">
        <f t="shared" si="6"/>
        <v>10.936449999999997</v>
      </c>
      <c r="U51" s="78">
        <f t="shared" si="20"/>
        <v>1.8227416666666663</v>
      </c>
      <c r="V51" s="47">
        <f t="shared" si="7"/>
        <v>10.936449999999997</v>
      </c>
      <c r="W51" s="10"/>
    </row>
    <row r="52" spans="1:23" ht="15" customHeight="1" x14ac:dyDescent="0.2">
      <c r="A52" s="32" t="s">
        <v>194</v>
      </c>
      <c r="B52" s="84" t="s">
        <v>31</v>
      </c>
      <c r="C52" s="85" t="s">
        <v>195</v>
      </c>
      <c r="D52" s="35" t="s">
        <v>90</v>
      </c>
      <c r="E52" s="35" t="s">
        <v>196</v>
      </c>
      <c r="F52" s="36">
        <v>6</v>
      </c>
      <c r="G52" s="33">
        <v>48</v>
      </c>
      <c r="H52" s="37">
        <v>40.5</v>
      </c>
      <c r="I52" s="38">
        <v>1</v>
      </c>
      <c r="J52" s="33" t="s">
        <v>92</v>
      </c>
      <c r="K52" s="39" t="s">
        <v>93</v>
      </c>
      <c r="L52" s="86">
        <v>22.7</v>
      </c>
      <c r="M52" s="120">
        <f>IF(ISNA(VLOOKUP($R$7,$AB$2:$BS$4,38,)),"", (VLOOKUP($R$7,$AB$2:$BS$4,38,)))</f>
        <v>0.51</v>
      </c>
      <c r="N52" s="149">
        <f t="shared" si="16"/>
        <v>22.189999999999998</v>
      </c>
      <c r="O52" s="43">
        <f t="shared" si="17"/>
        <v>0</v>
      </c>
      <c r="P52" s="43">
        <f t="shared" si="18"/>
        <v>22.189999999999998</v>
      </c>
      <c r="Q52" s="148">
        <f t="shared" si="19"/>
        <v>22.189999999999998</v>
      </c>
      <c r="R52" s="46">
        <f t="shared" si="5"/>
        <v>4.7655599999999998</v>
      </c>
      <c r="S52" s="153">
        <v>10.52</v>
      </c>
      <c r="T52" s="78">
        <f t="shared" si="6"/>
        <v>17.424439999999997</v>
      </c>
      <c r="U52" s="78">
        <f t="shared" si="20"/>
        <v>2.9040733333333328</v>
      </c>
      <c r="V52" s="47">
        <f t="shared" si="7"/>
        <v>17.424439999999997</v>
      </c>
      <c r="W52" s="10"/>
    </row>
    <row r="53" spans="1:23" ht="15" customHeight="1" x14ac:dyDescent="0.2">
      <c r="A53" s="32" t="s">
        <v>197</v>
      </c>
      <c r="B53" s="84" t="s">
        <v>32</v>
      </c>
      <c r="C53" s="85" t="s">
        <v>198</v>
      </c>
      <c r="D53" s="35" t="s">
        <v>90</v>
      </c>
      <c r="E53" s="35" t="s">
        <v>188</v>
      </c>
      <c r="F53" s="36">
        <v>6</v>
      </c>
      <c r="G53" s="33">
        <v>45</v>
      </c>
      <c r="H53" s="37">
        <v>39.380000000000003</v>
      </c>
      <c r="I53" s="38">
        <v>1</v>
      </c>
      <c r="J53" s="33" t="s">
        <v>92</v>
      </c>
      <c r="K53" s="39" t="s">
        <v>93</v>
      </c>
      <c r="L53" s="86">
        <v>18</v>
      </c>
      <c r="M53" s="120">
        <f>IF(ISNA(VLOOKUP($R$7,$AB$2:$BS$4,39,)),"", (VLOOKUP($R$7,$AB$2:$BS$4,39,)))</f>
        <v>0.26</v>
      </c>
      <c r="N53" s="149">
        <f t="shared" si="16"/>
        <v>17.739999999999998</v>
      </c>
      <c r="O53" s="43">
        <f t="shared" si="17"/>
        <v>0</v>
      </c>
      <c r="P53" s="43">
        <f t="shared" si="18"/>
        <v>17.739999999999998</v>
      </c>
      <c r="Q53" s="148">
        <f t="shared" si="19"/>
        <v>17.739999999999998</v>
      </c>
      <c r="R53" s="46">
        <f t="shared" si="5"/>
        <v>7.88673</v>
      </c>
      <c r="S53" s="153">
        <v>17.41</v>
      </c>
      <c r="T53" s="78">
        <f t="shared" si="6"/>
        <v>9.8532699999999984</v>
      </c>
      <c r="U53" s="78">
        <f t="shared" si="20"/>
        <v>1.6422116666666664</v>
      </c>
      <c r="V53" s="47">
        <f t="shared" si="7"/>
        <v>9.8532699999999984</v>
      </c>
      <c r="W53" s="10"/>
    </row>
    <row r="54" spans="1:23" ht="15" customHeight="1" x14ac:dyDescent="0.2">
      <c r="A54" s="32" t="s">
        <v>199</v>
      </c>
      <c r="B54" s="84" t="s">
        <v>33</v>
      </c>
      <c r="C54" s="85" t="s">
        <v>200</v>
      </c>
      <c r="D54" s="35" t="s">
        <v>90</v>
      </c>
      <c r="E54" s="35" t="s">
        <v>201</v>
      </c>
      <c r="F54" s="36">
        <v>6</v>
      </c>
      <c r="G54" s="33">
        <v>47</v>
      </c>
      <c r="H54" s="37">
        <v>41.63</v>
      </c>
      <c r="I54" s="38">
        <v>1</v>
      </c>
      <c r="J54" s="33" t="s">
        <v>92</v>
      </c>
      <c r="K54" s="39" t="s">
        <v>93</v>
      </c>
      <c r="L54" s="86">
        <v>29.05</v>
      </c>
      <c r="M54" s="120">
        <f>IF(ISNA(VLOOKUP($R$7,$AB$2:$BS$4,40,)),"", (VLOOKUP($R$7,$AB$2:$BS$4,40,)))</f>
        <v>0.26</v>
      </c>
      <c r="N54" s="149">
        <f t="shared" si="16"/>
        <v>28.79</v>
      </c>
      <c r="O54" s="43">
        <f t="shared" si="17"/>
        <v>0</v>
      </c>
      <c r="P54" s="43">
        <f t="shared" si="18"/>
        <v>28.79</v>
      </c>
      <c r="Q54" s="148">
        <f t="shared" si="19"/>
        <v>28.79</v>
      </c>
      <c r="R54" s="46">
        <f t="shared" si="5"/>
        <v>14.02941</v>
      </c>
      <c r="S54" s="153">
        <v>30.97</v>
      </c>
      <c r="T54" s="78">
        <f t="shared" si="6"/>
        <v>14.760589999999999</v>
      </c>
      <c r="U54" s="78">
        <f t="shared" si="20"/>
        <v>2.4600983333333333</v>
      </c>
      <c r="V54" s="47">
        <f t="shared" si="7"/>
        <v>14.760589999999999</v>
      </c>
      <c r="W54" s="10"/>
    </row>
    <row r="55" spans="1:23" ht="15" customHeight="1" x14ac:dyDescent="0.2">
      <c r="A55" s="58" t="s">
        <v>202</v>
      </c>
      <c r="B55" s="124" t="s">
        <v>34</v>
      </c>
      <c r="C55" s="75" t="s">
        <v>203</v>
      </c>
      <c r="D55" s="125" t="s">
        <v>90</v>
      </c>
      <c r="E55" s="125" t="s">
        <v>181</v>
      </c>
      <c r="F55" s="52">
        <v>6</v>
      </c>
      <c r="G55" s="59">
        <v>46</v>
      </c>
      <c r="H55" s="61">
        <v>39.75</v>
      </c>
      <c r="I55" s="62">
        <v>1</v>
      </c>
      <c r="J55" s="59" t="s">
        <v>92</v>
      </c>
      <c r="K55" s="55" t="s">
        <v>93</v>
      </c>
      <c r="L55" s="77">
        <v>16.25</v>
      </c>
      <c r="M55" s="120">
        <f>IF(ISNA(VLOOKUP($R$7,$AB$2:$BS$4,41,)),"", (VLOOKUP($R$7,$AB$2:$BS$4,41,)))</f>
        <v>0.26</v>
      </c>
      <c r="N55" s="147">
        <f t="shared" si="16"/>
        <v>15.99</v>
      </c>
      <c r="O55" s="43">
        <f t="shared" si="17"/>
        <v>0</v>
      </c>
      <c r="P55" s="43">
        <f t="shared" si="18"/>
        <v>15.99</v>
      </c>
      <c r="Q55" s="148">
        <f t="shared" si="19"/>
        <v>15.99</v>
      </c>
      <c r="R55" s="46">
        <f t="shared" si="5"/>
        <v>4.4031600000000006</v>
      </c>
      <c r="S55" s="153">
        <v>9.7200000000000006</v>
      </c>
      <c r="T55" s="78">
        <f t="shared" si="6"/>
        <v>11.586839999999999</v>
      </c>
      <c r="U55" s="78">
        <f t="shared" si="20"/>
        <v>1.9311399999999999</v>
      </c>
      <c r="V55" s="47">
        <f t="shared" si="7"/>
        <v>11.586839999999999</v>
      </c>
      <c r="W55" s="10"/>
    </row>
    <row r="56" spans="1:23" ht="15" customHeight="1" x14ac:dyDescent="0.2">
      <c r="A56" s="58" t="s">
        <v>204</v>
      </c>
      <c r="B56" s="124" t="s">
        <v>35</v>
      </c>
      <c r="C56" s="75" t="s">
        <v>205</v>
      </c>
      <c r="D56" s="125" t="s">
        <v>90</v>
      </c>
      <c r="E56" s="125" t="s">
        <v>181</v>
      </c>
      <c r="F56" s="52">
        <v>6</v>
      </c>
      <c r="G56" s="59">
        <v>45</v>
      </c>
      <c r="H56" s="61">
        <v>39.75</v>
      </c>
      <c r="I56" s="62">
        <v>1</v>
      </c>
      <c r="J56" s="59" t="s">
        <v>92</v>
      </c>
      <c r="K56" s="55" t="s">
        <v>93</v>
      </c>
      <c r="L56" s="77">
        <v>18.850000000000001</v>
      </c>
      <c r="M56" s="120">
        <f>IF(ISNA(VLOOKUP($R$7,$AB$2:$BS$4,42,)),"", (VLOOKUP($R$7,$AB$2:$BS$4,42,)))</f>
        <v>0.26</v>
      </c>
      <c r="N56" s="147">
        <f t="shared" si="16"/>
        <v>18.59</v>
      </c>
      <c r="O56" s="43">
        <f t="shared" si="17"/>
        <v>0</v>
      </c>
      <c r="P56" s="43">
        <f t="shared" si="18"/>
        <v>18.59</v>
      </c>
      <c r="Q56" s="148">
        <f t="shared" si="19"/>
        <v>18.59</v>
      </c>
      <c r="R56" s="46">
        <f t="shared" si="5"/>
        <v>7.3657800000000009</v>
      </c>
      <c r="S56" s="153">
        <v>16.260000000000002</v>
      </c>
      <c r="T56" s="78">
        <f t="shared" si="6"/>
        <v>11.224219999999999</v>
      </c>
      <c r="U56" s="78">
        <f t="shared" si="20"/>
        <v>1.8707033333333332</v>
      </c>
      <c r="V56" s="47">
        <f t="shared" si="7"/>
        <v>11.224219999999999</v>
      </c>
      <c r="W56" s="10"/>
    </row>
    <row r="57" spans="1:23" ht="15" customHeight="1" x14ac:dyDescent="0.2">
      <c r="A57" s="58" t="s">
        <v>206</v>
      </c>
      <c r="B57" s="87" t="s">
        <v>36</v>
      </c>
      <c r="C57" s="88" t="s">
        <v>207</v>
      </c>
      <c r="D57" s="89" t="s">
        <v>208</v>
      </c>
      <c r="E57" s="89" t="s">
        <v>209</v>
      </c>
      <c r="F57" s="90">
        <v>8</v>
      </c>
      <c r="G57" s="87">
        <v>29</v>
      </c>
      <c r="H57" s="61">
        <v>24.58</v>
      </c>
      <c r="I57" s="91">
        <v>0.97</v>
      </c>
      <c r="J57" s="59" t="s">
        <v>210</v>
      </c>
      <c r="K57" s="55" t="s">
        <v>211</v>
      </c>
      <c r="L57" s="77">
        <v>10.3</v>
      </c>
      <c r="M57" s="120">
        <f>IF(ISNA(VLOOKUP($R$7,$AB$2:$BS$4,43,)),"", (VLOOKUP($R$7,$AB$2:$BS$4,43,)))</f>
        <v>0.26</v>
      </c>
      <c r="N57" s="147">
        <f t="shared" si="16"/>
        <v>10.040000000000001</v>
      </c>
      <c r="O57" s="43">
        <f t="shared" si="17"/>
        <v>0</v>
      </c>
      <c r="P57" s="43">
        <f t="shared" si="18"/>
        <v>10.040000000000001</v>
      </c>
      <c r="Q57" s="148">
        <f t="shared" si="19"/>
        <v>10.040000000000001</v>
      </c>
      <c r="R57" s="46">
        <f t="shared" si="5"/>
        <v>1.8346499999999999</v>
      </c>
      <c r="S57" s="154">
        <v>4.05</v>
      </c>
      <c r="T57" s="78">
        <f t="shared" si="6"/>
        <v>8.205350000000001</v>
      </c>
      <c r="U57" s="78">
        <f t="shared" si="20"/>
        <v>1.0256687500000001</v>
      </c>
      <c r="V57" s="47">
        <f t="shared" si="7"/>
        <v>8.205350000000001</v>
      </c>
      <c r="W57" s="10"/>
    </row>
    <row r="58" spans="1:23" ht="15" customHeight="1" x14ac:dyDescent="0.2">
      <c r="A58" s="58" t="s">
        <v>212</v>
      </c>
      <c r="B58" s="92" t="s">
        <v>37</v>
      </c>
      <c r="C58" s="75" t="s">
        <v>213</v>
      </c>
      <c r="D58" s="125" t="s">
        <v>214</v>
      </c>
      <c r="E58" s="125" t="s">
        <v>209</v>
      </c>
      <c r="F58" s="52">
        <v>12</v>
      </c>
      <c r="G58" s="59">
        <v>44</v>
      </c>
      <c r="H58" s="61">
        <v>36.86</v>
      </c>
      <c r="I58" s="62">
        <v>1</v>
      </c>
      <c r="J58" s="59" t="s">
        <v>215</v>
      </c>
      <c r="K58" s="125" t="s">
        <v>93</v>
      </c>
      <c r="L58" s="93">
        <v>14.15</v>
      </c>
      <c r="M58" s="120">
        <f>IF(ISNA(VLOOKUP($R$7,$AB$2:$BS$4,44,)),"", (VLOOKUP($R$7,$AB$2:$BS$4,44,)))</f>
        <v>0.26</v>
      </c>
      <c r="N58" s="41">
        <f t="shared" si="16"/>
        <v>13.89</v>
      </c>
      <c r="O58" s="43">
        <f t="shared" si="17"/>
        <v>0</v>
      </c>
      <c r="P58" s="43">
        <f t="shared" si="18"/>
        <v>13.89</v>
      </c>
      <c r="Q58" s="148">
        <f t="shared" si="19"/>
        <v>13.89</v>
      </c>
      <c r="R58" s="46">
        <f t="shared" si="5"/>
        <v>2.5821000000000001</v>
      </c>
      <c r="S58" s="154">
        <v>5.7</v>
      </c>
      <c r="T58" s="78">
        <f t="shared" si="6"/>
        <v>11.3079</v>
      </c>
      <c r="U58" s="78">
        <f t="shared" si="20"/>
        <v>0.94232499999999997</v>
      </c>
      <c r="V58" s="47">
        <f t="shared" si="7"/>
        <v>11.3079</v>
      </c>
      <c r="W58" s="10"/>
    </row>
    <row r="59" spans="1:23" ht="15" customHeight="1" x14ac:dyDescent="0.2">
      <c r="A59" s="58" t="s">
        <v>216</v>
      </c>
      <c r="B59" s="87" t="s">
        <v>217</v>
      </c>
      <c r="C59" s="144" t="s">
        <v>272</v>
      </c>
      <c r="D59" s="89" t="s">
        <v>218</v>
      </c>
      <c r="E59" s="89" t="s">
        <v>219</v>
      </c>
      <c r="F59" s="90">
        <v>6</v>
      </c>
      <c r="G59" s="87">
        <v>45</v>
      </c>
      <c r="H59" s="94">
        <v>38.25</v>
      </c>
      <c r="I59" s="91">
        <v>1</v>
      </c>
      <c r="J59" s="59" t="s">
        <v>92</v>
      </c>
      <c r="K59" s="125" t="s">
        <v>220</v>
      </c>
      <c r="L59" s="93">
        <v>17.600000000000001</v>
      </c>
      <c r="M59" s="120">
        <f>IF(ISNA(VLOOKUP($R$7,$AB$2:$BY$4,45,)),"", (VLOOKUP($R$7,$AB$2:$BY$4,45,)))</f>
        <v>0.51</v>
      </c>
      <c r="N59" s="41">
        <f t="shared" si="16"/>
        <v>17.09</v>
      </c>
      <c r="O59" s="43">
        <f t="shared" si="17"/>
        <v>0</v>
      </c>
      <c r="P59" s="43">
        <f t="shared" si="18"/>
        <v>17.09</v>
      </c>
      <c r="Q59" s="148">
        <f t="shared" si="19"/>
        <v>17.09</v>
      </c>
      <c r="R59" s="46" t="s">
        <v>176</v>
      </c>
      <c r="S59" s="46" t="s">
        <v>176</v>
      </c>
      <c r="T59" s="46" t="s">
        <v>176</v>
      </c>
      <c r="U59" s="46" t="s">
        <v>176</v>
      </c>
      <c r="V59" s="46" t="s">
        <v>176</v>
      </c>
      <c r="W59" s="10"/>
    </row>
    <row r="60" spans="1:23" ht="15" customHeight="1" x14ac:dyDescent="0.2">
      <c r="A60" s="58" t="s">
        <v>221</v>
      </c>
      <c r="B60" s="87" t="s">
        <v>222</v>
      </c>
      <c r="C60" s="144" t="s">
        <v>271</v>
      </c>
      <c r="D60" s="89" t="s">
        <v>218</v>
      </c>
      <c r="E60" s="89" t="s">
        <v>181</v>
      </c>
      <c r="F60" s="90">
        <v>6</v>
      </c>
      <c r="G60" s="87">
        <v>45</v>
      </c>
      <c r="H60" s="94">
        <v>39.75</v>
      </c>
      <c r="I60" s="91">
        <v>1</v>
      </c>
      <c r="J60" s="59" t="s">
        <v>92</v>
      </c>
      <c r="K60" s="125" t="s">
        <v>220</v>
      </c>
      <c r="L60" s="93">
        <v>14.9</v>
      </c>
      <c r="M60" s="120">
        <f>IF(ISNA(VLOOKUP($R$7,$AB$2:$BY$4,46,)),"", (VLOOKUP($R$7,$AB$2:$BY$4,46,)))</f>
        <v>0.26</v>
      </c>
      <c r="N60" s="41">
        <f t="shared" si="16"/>
        <v>14.64</v>
      </c>
      <c r="O60" s="43">
        <f t="shared" si="17"/>
        <v>0</v>
      </c>
      <c r="P60" s="43">
        <f t="shared" si="18"/>
        <v>14.64</v>
      </c>
      <c r="Q60" s="148">
        <f t="shared" si="19"/>
        <v>14.64</v>
      </c>
      <c r="R60" s="46" t="s">
        <v>176</v>
      </c>
      <c r="S60" s="46" t="s">
        <v>176</v>
      </c>
      <c r="T60" s="46" t="s">
        <v>176</v>
      </c>
      <c r="U60" s="46" t="s">
        <v>176</v>
      </c>
      <c r="V60" s="46" t="s">
        <v>176</v>
      </c>
      <c r="W60" s="10"/>
    </row>
    <row r="61" spans="1:23" ht="15" customHeight="1" x14ac:dyDescent="0.2">
      <c r="A61" s="58" t="s">
        <v>223</v>
      </c>
      <c r="B61" s="87" t="s">
        <v>224</v>
      </c>
      <c r="C61" s="144" t="s">
        <v>270</v>
      </c>
      <c r="D61" s="89" t="s">
        <v>218</v>
      </c>
      <c r="E61" s="89" t="s">
        <v>181</v>
      </c>
      <c r="F61" s="90">
        <v>6</v>
      </c>
      <c r="G61" s="87">
        <v>45</v>
      </c>
      <c r="H61" s="94">
        <v>39.75</v>
      </c>
      <c r="I61" s="91">
        <v>1</v>
      </c>
      <c r="J61" s="59" t="s">
        <v>92</v>
      </c>
      <c r="K61" s="125" t="s">
        <v>220</v>
      </c>
      <c r="L61" s="93">
        <v>17.2</v>
      </c>
      <c r="M61" s="120">
        <f>IF(ISNA(VLOOKUP($R$7,$AB$2:$BY$4,47,)),"", (VLOOKUP($R$7,$AB$2:$BY$4,47,)))</f>
        <v>0.26</v>
      </c>
      <c r="N61" s="41">
        <f t="shared" si="16"/>
        <v>16.939999999999998</v>
      </c>
      <c r="O61" s="43">
        <f t="shared" si="17"/>
        <v>0</v>
      </c>
      <c r="P61" s="43">
        <f t="shared" si="18"/>
        <v>16.939999999999998</v>
      </c>
      <c r="Q61" s="148">
        <f t="shared" si="19"/>
        <v>16.939999999999998</v>
      </c>
      <c r="R61" s="46" t="s">
        <v>176</v>
      </c>
      <c r="S61" s="46" t="s">
        <v>176</v>
      </c>
      <c r="T61" s="46" t="s">
        <v>176</v>
      </c>
      <c r="U61" s="46" t="s">
        <v>176</v>
      </c>
      <c r="V61" s="46" t="s">
        <v>176</v>
      </c>
      <c r="W61" s="10"/>
    </row>
    <row r="62" spans="1:23" ht="27.75" customHeight="1" x14ac:dyDescent="0.2">
      <c r="A62" s="125"/>
      <c r="B62" s="89"/>
      <c r="C62" s="144" t="s">
        <v>273</v>
      </c>
      <c r="D62" s="89"/>
      <c r="E62" s="89"/>
      <c r="F62" s="89"/>
      <c r="G62" s="87"/>
      <c r="H62" s="89"/>
      <c r="I62" s="89"/>
      <c r="J62" s="87"/>
      <c r="K62" s="222" t="s">
        <v>289</v>
      </c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10"/>
    </row>
    <row r="63" spans="1:23" ht="14.1" customHeight="1" x14ac:dyDescent="0.2">
      <c r="A63" s="223" t="s">
        <v>225</v>
      </c>
      <c r="B63" s="224"/>
      <c r="C63" s="225"/>
      <c r="D63" s="226" t="s">
        <v>226</v>
      </c>
      <c r="E63" s="227"/>
      <c r="F63" s="227"/>
      <c r="G63" s="227"/>
      <c r="H63" s="227"/>
      <c r="I63" s="227"/>
      <c r="J63" s="227"/>
      <c r="K63" s="228" t="s">
        <v>227</v>
      </c>
      <c r="L63" s="229"/>
      <c r="M63" s="95">
        <f>O11</f>
        <v>0</v>
      </c>
      <c r="N63" s="96"/>
      <c r="O63" s="97"/>
      <c r="P63" s="97"/>
      <c r="Q63" s="97"/>
      <c r="R63" s="98"/>
      <c r="S63" s="98"/>
      <c r="T63" s="98"/>
      <c r="U63" s="99"/>
      <c r="V63" s="100"/>
      <c r="W63" s="10"/>
    </row>
    <row r="64" spans="1:23" ht="14.1" customHeight="1" x14ac:dyDescent="0.2">
      <c r="A64" s="230" t="s">
        <v>228</v>
      </c>
      <c r="B64" s="231"/>
      <c r="C64" s="232"/>
      <c r="D64" s="233"/>
      <c r="E64" s="234"/>
      <c r="F64" s="234"/>
      <c r="G64" s="234"/>
      <c r="H64" s="234"/>
      <c r="I64" s="234"/>
      <c r="J64" s="235" t="s">
        <v>229</v>
      </c>
      <c r="K64" s="235"/>
      <c r="L64" s="235"/>
      <c r="M64" s="101">
        <f>Q11</f>
        <v>0</v>
      </c>
      <c r="N64" s="102"/>
      <c r="O64" s="96"/>
      <c r="P64" s="96"/>
      <c r="Q64" s="103"/>
      <c r="R64" s="104"/>
      <c r="S64" s="104"/>
      <c r="T64" s="104"/>
      <c r="U64" s="104"/>
      <c r="V64" s="100"/>
      <c r="W64" s="10"/>
    </row>
    <row r="65" spans="1:23" ht="14.1" customHeight="1" x14ac:dyDescent="0.2">
      <c r="A65" s="122" t="s">
        <v>230</v>
      </c>
      <c r="B65" s="123"/>
      <c r="C65" s="123"/>
      <c r="D65" s="236"/>
      <c r="E65" s="237"/>
      <c r="F65" s="237"/>
      <c r="G65" s="237"/>
      <c r="H65" s="237"/>
      <c r="I65" s="237"/>
      <c r="J65" s="238" t="s">
        <v>231</v>
      </c>
      <c r="K65" s="238"/>
      <c r="L65" s="238"/>
      <c r="M65" s="101">
        <v>0</v>
      </c>
      <c r="N65" s="107"/>
      <c r="O65" s="96"/>
      <c r="P65" s="96"/>
      <c r="Q65" s="103"/>
      <c r="R65" s="104"/>
      <c r="S65" s="104"/>
      <c r="T65" s="104"/>
      <c r="U65" s="104"/>
      <c r="V65" s="100"/>
      <c r="W65" s="10"/>
    </row>
    <row r="66" spans="1:23" ht="14.1" customHeight="1" x14ac:dyDescent="0.2">
      <c r="A66" s="122" t="s">
        <v>232</v>
      </c>
      <c r="B66" s="123"/>
      <c r="C66" s="123"/>
      <c r="D66" s="219" t="s">
        <v>233</v>
      </c>
      <c r="E66" s="219"/>
      <c r="F66" s="219"/>
      <c r="G66" s="219"/>
      <c r="H66" s="220" t="s">
        <v>234</v>
      </c>
      <c r="I66" s="220"/>
      <c r="J66" s="220"/>
      <c r="K66" s="221" t="s">
        <v>235</v>
      </c>
      <c r="L66" s="221"/>
      <c r="M66" s="221"/>
      <c r="N66" s="99"/>
      <c r="O66" s="96"/>
      <c r="P66" s="96"/>
      <c r="Q66" s="103"/>
      <c r="R66" s="104"/>
      <c r="S66" s="104"/>
      <c r="T66" s="104"/>
      <c r="U66" s="104"/>
      <c r="V66" s="100"/>
      <c r="W66" s="10"/>
    </row>
    <row r="67" spans="1:23" ht="14.1" customHeight="1" x14ac:dyDescent="0.2">
      <c r="A67" s="122" t="s">
        <v>236</v>
      </c>
      <c r="B67" s="123"/>
      <c r="C67" s="123"/>
      <c r="D67" s="239" t="s">
        <v>237</v>
      </c>
      <c r="E67" s="239"/>
      <c r="F67" s="239"/>
      <c r="G67" s="239"/>
      <c r="H67" s="240" t="s">
        <v>55</v>
      </c>
      <c r="I67" s="240"/>
      <c r="J67" s="240"/>
      <c r="K67" s="240" t="s">
        <v>238</v>
      </c>
      <c r="L67" s="240"/>
      <c r="M67" s="240"/>
      <c r="N67" s="108"/>
      <c r="O67" s="109"/>
      <c r="P67" s="109"/>
      <c r="Q67" s="103"/>
      <c r="R67" s="104"/>
      <c r="S67" s="104"/>
      <c r="T67" s="104"/>
      <c r="U67" s="104"/>
      <c r="V67" s="100"/>
      <c r="W67" s="10"/>
    </row>
    <row r="68" spans="1:23" ht="14.1" customHeight="1" x14ac:dyDescent="0.2">
      <c r="A68" s="241" t="s">
        <v>290</v>
      </c>
      <c r="B68" s="242"/>
      <c r="C68" s="242"/>
      <c r="D68" s="239" t="s">
        <v>239</v>
      </c>
      <c r="E68" s="239"/>
      <c r="F68" s="239"/>
      <c r="G68" s="239"/>
      <c r="H68" s="240" t="str">
        <f>IF(ISNA(VLOOKUP($H$67,$BZ$1:$CD$6,2,)),"", (VLOOKUP($H$67,$BZ$1:$CD$6,2,)))</f>
        <v>K12 National Sls. Mgr</v>
      </c>
      <c r="I68" s="240"/>
      <c r="J68" s="240"/>
      <c r="K68" s="240" t="s">
        <v>240</v>
      </c>
      <c r="L68" s="240"/>
      <c r="M68" s="240"/>
      <c r="N68" s="108"/>
      <c r="O68" s="96"/>
      <c r="P68" s="96"/>
      <c r="Q68" s="103"/>
      <c r="R68" s="104"/>
      <c r="S68" s="104"/>
      <c r="T68" s="104"/>
      <c r="U68" s="104"/>
      <c r="V68" s="100"/>
      <c r="W68" s="10"/>
    </row>
    <row r="69" spans="1:23" ht="14.1" customHeight="1" x14ac:dyDescent="0.2">
      <c r="A69" s="241"/>
      <c r="B69" s="242"/>
      <c r="C69" s="242"/>
      <c r="D69" s="239" t="s">
        <v>241</v>
      </c>
      <c r="E69" s="239"/>
      <c r="F69" s="239"/>
      <c r="G69" s="239"/>
      <c r="H69" s="240" t="str">
        <f>IF(ISNA(VLOOKUP($H$67,$BZ$1:$CD$6,3,)),"", (VLOOKUP($H$67,$BZ$1:$CD$6,3,)))</f>
        <v>Austin, TX</v>
      </c>
      <c r="I69" s="240"/>
      <c r="J69" s="240"/>
      <c r="K69" s="243" t="s">
        <v>242</v>
      </c>
      <c r="L69" s="243"/>
      <c r="M69" s="243"/>
      <c r="N69" s="110"/>
      <c r="O69" s="96"/>
      <c r="P69" s="96"/>
      <c r="Q69" s="103"/>
      <c r="R69" s="104"/>
      <c r="S69" s="104"/>
      <c r="T69" s="104"/>
      <c r="U69" s="104"/>
      <c r="V69" s="100"/>
      <c r="W69" s="10"/>
    </row>
    <row r="70" spans="1:23" ht="14.1" customHeight="1" x14ac:dyDescent="0.2">
      <c r="A70" s="244" t="s">
        <v>243</v>
      </c>
      <c r="B70" s="245"/>
      <c r="C70" s="246"/>
      <c r="D70" s="239" t="s">
        <v>244</v>
      </c>
      <c r="E70" s="239"/>
      <c r="F70" s="239"/>
      <c r="G70" s="239"/>
      <c r="H70" s="240" t="str">
        <f>IF(ISNA(VLOOKUP($H$67,$BZ$1:$CD$6,4,)),"", (VLOOKUP($H$67,$BZ$1:$CD$6,4,)))</f>
        <v>(512) 626-4980</v>
      </c>
      <c r="I70" s="240"/>
      <c r="J70" s="240"/>
      <c r="K70" s="247" t="s">
        <v>245</v>
      </c>
      <c r="L70" s="247"/>
      <c r="M70" s="247"/>
      <c r="N70" s="111"/>
      <c r="O70" s="96"/>
      <c r="P70" s="96"/>
      <c r="Q70" s="112"/>
      <c r="R70" s="113"/>
      <c r="S70" s="113"/>
      <c r="T70" s="113"/>
      <c r="U70" s="113"/>
      <c r="V70" s="100"/>
      <c r="W70" s="10"/>
    </row>
    <row r="71" spans="1:23" ht="14.1" customHeight="1" x14ac:dyDescent="0.2">
      <c r="A71" s="114" t="s">
        <v>246</v>
      </c>
      <c r="B71" s="115"/>
      <c r="C71" s="116"/>
      <c r="D71" s="239" t="s">
        <v>247</v>
      </c>
      <c r="E71" s="239"/>
      <c r="F71" s="239"/>
      <c r="G71" s="239"/>
      <c r="H71" s="249"/>
      <c r="I71" s="249"/>
      <c r="J71" s="249"/>
      <c r="K71" s="250"/>
      <c r="L71" s="251"/>
      <c r="M71" s="252"/>
      <c r="N71" s="117"/>
      <c r="O71" s="117"/>
      <c r="P71" s="117"/>
      <c r="Q71" s="117"/>
      <c r="R71" s="118"/>
      <c r="S71" s="118"/>
      <c r="T71" s="118"/>
      <c r="U71" s="118"/>
      <c r="V71" s="100"/>
      <c r="W71" s="10"/>
    </row>
    <row r="72" spans="1:23" ht="14.1" customHeight="1" x14ac:dyDescent="0.2">
      <c r="A72" s="253"/>
      <c r="B72" s="253"/>
      <c r="C72" s="253"/>
      <c r="D72" s="239" t="s">
        <v>248</v>
      </c>
      <c r="E72" s="239"/>
      <c r="F72" s="239"/>
      <c r="G72" s="239"/>
      <c r="H72" s="254" t="str">
        <f>IF(ISNA(VLOOKUP($H$67,$BZ$1:$CD$6,5,)),"", (VLOOKUP($H$67,$BZ$1:$CD$6,5,)))</f>
        <v>jbatten@redgold.com</v>
      </c>
      <c r="I72" s="254"/>
      <c r="J72" s="254"/>
      <c r="K72" s="255" t="s">
        <v>249</v>
      </c>
      <c r="L72" s="255"/>
      <c r="M72" s="255"/>
      <c r="N72" s="10"/>
      <c r="O72" s="10"/>
      <c r="P72" s="10"/>
      <c r="Q72" s="10"/>
      <c r="R72" s="100"/>
      <c r="S72" s="100"/>
      <c r="T72" s="100"/>
      <c r="U72" s="100"/>
      <c r="V72" s="100"/>
      <c r="W72" s="10"/>
    </row>
    <row r="73" spans="1:23" ht="15.75" x14ac:dyDescent="0.25">
      <c r="A73" s="248" t="s">
        <v>250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10"/>
      <c r="O73" s="10"/>
      <c r="P73" s="10"/>
      <c r="Q73" s="10"/>
      <c r="R73" s="100"/>
      <c r="S73" s="100"/>
      <c r="T73" s="100"/>
      <c r="U73" s="100"/>
      <c r="V73" s="100"/>
      <c r="W73" s="10"/>
    </row>
  </sheetData>
  <mergeCells count="78">
    <mergeCell ref="A73:M73"/>
    <mergeCell ref="D71:G71"/>
    <mergeCell ref="H71:J71"/>
    <mergeCell ref="K71:M71"/>
    <mergeCell ref="A72:C72"/>
    <mergeCell ref="D72:G72"/>
    <mergeCell ref="H72:J72"/>
    <mergeCell ref="K72:M72"/>
    <mergeCell ref="A69:C69"/>
    <mergeCell ref="D69:G69"/>
    <mergeCell ref="H69:J69"/>
    <mergeCell ref="K69:M69"/>
    <mergeCell ref="A70:C70"/>
    <mergeCell ref="D70:G70"/>
    <mergeCell ref="H70:J70"/>
    <mergeCell ref="K70:M70"/>
    <mergeCell ref="D67:G67"/>
    <mergeCell ref="H67:J67"/>
    <mergeCell ref="K67:M67"/>
    <mergeCell ref="A68:C68"/>
    <mergeCell ref="D68:G68"/>
    <mergeCell ref="H68:J68"/>
    <mergeCell ref="K68:M68"/>
    <mergeCell ref="A35:C35"/>
    <mergeCell ref="D35:V35"/>
    <mergeCell ref="D66:G66"/>
    <mergeCell ref="H66:J66"/>
    <mergeCell ref="K66:M66"/>
    <mergeCell ref="A42:C42"/>
    <mergeCell ref="D42:V42"/>
    <mergeCell ref="K62:V62"/>
    <mergeCell ref="A63:C63"/>
    <mergeCell ref="D63:J63"/>
    <mergeCell ref="K63:L63"/>
    <mergeCell ref="A64:C64"/>
    <mergeCell ref="D64:I64"/>
    <mergeCell ref="J64:L64"/>
    <mergeCell ref="D65:I65"/>
    <mergeCell ref="J65:L65"/>
    <mergeCell ref="U10:U11"/>
    <mergeCell ref="A12:C12"/>
    <mergeCell ref="D12:V12"/>
    <mergeCell ref="A27:C27"/>
    <mergeCell ref="D27:V27"/>
    <mergeCell ref="N10:N11"/>
    <mergeCell ref="P10:P11"/>
    <mergeCell ref="R10:R11"/>
    <mergeCell ref="S10:S11"/>
    <mergeCell ref="T10:T11"/>
    <mergeCell ref="T9:V9"/>
    <mergeCell ref="W9:W11"/>
    <mergeCell ref="A10:A11"/>
    <mergeCell ref="B10:B11"/>
    <mergeCell ref="C10:C11"/>
    <mergeCell ref="D10:D11"/>
    <mergeCell ref="E10:E11"/>
    <mergeCell ref="F10:F11"/>
    <mergeCell ref="G10:G11"/>
    <mergeCell ref="H10:H11"/>
    <mergeCell ref="V10:V11"/>
    <mergeCell ref="I10:I11"/>
    <mergeCell ref="J10:J11"/>
    <mergeCell ref="K10:K11"/>
    <mergeCell ref="L10:L11"/>
    <mergeCell ref="M10:M11"/>
    <mergeCell ref="C8:D8"/>
    <mergeCell ref="E8:H8"/>
    <mergeCell ref="I8:K8"/>
    <mergeCell ref="M8:R8"/>
    <mergeCell ref="C9:K9"/>
    <mergeCell ref="L9:Q9"/>
    <mergeCell ref="R9:S9"/>
    <mergeCell ref="T7:V8"/>
    <mergeCell ref="E3:L6"/>
    <mergeCell ref="E7:H7"/>
    <mergeCell ref="I7:K7"/>
    <mergeCell ref="O7:Q7"/>
    <mergeCell ref="R7:S7"/>
  </mergeCells>
  <dataValidations count="2">
    <dataValidation type="list" allowBlank="1" showInputMessage="1" showErrorMessage="1" sqref="R7:S7">
      <formula1>$AB$2:$AB$4</formula1>
    </dataValidation>
    <dataValidation type="list" allowBlank="1" showInputMessage="1" showErrorMessage="1" sqref="H67:J67">
      <formula1>$BZ$1:$BZ$6</formula1>
    </dataValidation>
  </dataValidations>
  <hyperlinks>
    <hyperlink ref="CD2" r:id="rId1"/>
    <hyperlink ref="K72" r:id="rId2"/>
    <hyperlink ref="M72" r:id="rId3" display="dsaverino@redgold.com"/>
    <hyperlink ref="K72:M72" r:id="rId4" display="jchaffin@redgold.com"/>
    <hyperlink ref="CD3" r:id="rId5"/>
    <hyperlink ref="CD6" r:id="rId6"/>
  </hyperlinks>
  <pageMargins left="0.25" right="0.25" top="0.75" bottom="0.75" header="0.3" footer="0.3"/>
  <pageSetup scale="39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progId="MSPhotoEd.3" shapeId="2049" r:id="rId10">
          <objectPr defaultSize="0" autoPict="0" r:id="rId11">
            <anchor moveWithCells="1">
              <from>
                <xdr:col>2</xdr:col>
                <xdr:colOff>285750</xdr:colOff>
                <xdr:row>0</xdr:row>
                <xdr:rowOff>171450</xdr:rowOff>
              </from>
              <to>
                <xdr:col>2</xdr:col>
                <xdr:colOff>3076575</xdr:colOff>
                <xdr:row>4</xdr:row>
                <xdr:rowOff>228600</xdr:rowOff>
              </to>
            </anchor>
          </objectPr>
        </oleObject>
      </mc:Choice>
      <mc:Fallback>
        <oleObject progId="MSPhotoEd.3" shapeId="2049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D73"/>
  <sheetViews>
    <sheetView tabSelected="1" zoomScale="70" zoomScaleNormal="70" workbookViewId="0"/>
  </sheetViews>
  <sheetFormatPr defaultRowHeight="12.75" x14ac:dyDescent="0.2"/>
  <cols>
    <col min="1" max="1" width="21" style="11" customWidth="1"/>
    <col min="2" max="2" width="14.28515625" style="11" customWidth="1"/>
    <col min="3" max="3" width="77.42578125" style="11" customWidth="1"/>
    <col min="4" max="4" width="14.140625" style="11" customWidth="1"/>
    <col min="5" max="5" width="8.140625" style="11" customWidth="1"/>
    <col min="6" max="6" width="7.42578125" style="11" customWidth="1"/>
    <col min="7" max="7" width="7.7109375" style="11" customWidth="1"/>
    <col min="8" max="8" width="8" style="11" customWidth="1"/>
    <col min="9" max="9" width="6.42578125" style="11" customWidth="1"/>
    <col min="10" max="10" width="19.42578125" style="11" customWidth="1"/>
    <col min="11" max="11" width="10.7109375" style="11" customWidth="1"/>
    <col min="12" max="12" width="11.42578125" style="11" customWidth="1"/>
    <col min="13" max="13" width="11.85546875" style="11" customWidth="1"/>
    <col min="14" max="14" width="13.140625" style="11" customWidth="1"/>
    <col min="15" max="15" width="9.42578125" style="11" customWidth="1"/>
    <col min="16" max="16" width="10" style="11" customWidth="1"/>
    <col min="17" max="17" width="10.42578125" style="11" hidden="1" customWidth="1"/>
    <col min="18" max="18" width="9.140625" style="119"/>
    <col min="19" max="19" width="12.140625" style="119" customWidth="1"/>
    <col min="20" max="20" width="10.7109375" style="119" customWidth="1"/>
    <col min="21" max="21" width="10.5703125" style="119" customWidth="1"/>
    <col min="22" max="22" width="11.42578125" style="119" hidden="1" customWidth="1"/>
    <col min="23" max="23" width="10.140625" style="11" customWidth="1"/>
    <col min="24" max="27" width="9.140625" style="11"/>
    <col min="28" max="28" width="9.140625" style="11" hidden="1" customWidth="1"/>
    <col min="29" max="31" width="9.7109375" style="11" hidden="1" customWidth="1"/>
    <col min="32" max="33" width="10.140625" style="11" hidden="1" customWidth="1"/>
    <col min="34" max="34" width="13.140625" style="11" hidden="1" customWidth="1"/>
    <col min="35" max="38" width="10.140625" style="11" hidden="1" customWidth="1"/>
    <col min="39" max="39" width="9.5703125" style="11" hidden="1" customWidth="1"/>
    <col min="40" max="40" width="9.7109375" style="11" hidden="1" customWidth="1"/>
    <col min="41" max="42" width="10.5703125" style="11" hidden="1" customWidth="1"/>
    <col min="43" max="43" width="10.140625" style="11" hidden="1" customWidth="1"/>
    <col min="44" max="44" width="9.7109375" style="11" hidden="1" customWidth="1"/>
    <col min="45" max="45" width="10.140625" style="11" hidden="1" customWidth="1"/>
    <col min="46" max="46" width="14" style="11" hidden="1" customWidth="1"/>
    <col min="47" max="47" width="14.5703125" style="11" hidden="1" customWidth="1"/>
    <col min="48" max="48" width="14.28515625" style="11" hidden="1" customWidth="1"/>
    <col min="49" max="49" width="14.85546875" style="11" hidden="1" customWidth="1"/>
    <col min="50" max="51" width="10.140625" style="11" hidden="1" customWidth="1"/>
    <col min="52" max="52" width="13.7109375" style="11" hidden="1" customWidth="1"/>
    <col min="53" max="53" width="14.42578125" style="11" hidden="1" customWidth="1"/>
    <col min="54" max="55" width="9.7109375" style="11" hidden="1" customWidth="1"/>
    <col min="56" max="56" width="10" style="11" hidden="1" customWidth="1"/>
    <col min="57" max="57" width="9.85546875" style="11" hidden="1" customWidth="1"/>
    <col min="58" max="58" width="10.42578125" style="11" hidden="1" customWidth="1"/>
    <col min="59" max="59" width="10.5703125" style="11" hidden="1" customWidth="1"/>
    <col min="60" max="61" width="10.28515625" style="11" hidden="1" customWidth="1"/>
    <col min="62" max="63" width="9.140625" style="11" hidden="1" customWidth="1"/>
    <col min="64" max="64" width="9.28515625" style="11" hidden="1" customWidth="1"/>
    <col min="65" max="65" width="9.7109375" style="11" hidden="1" customWidth="1"/>
    <col min="66" max="69" width="10.28515625" style="11" hidden="1" customWidth="1"/>
    <col min="70" max="70" width="14.28515625" style="11" hidden="1" customWidth="1"/>
    <col min="71" max="74" width="10" style="11" hidden="1" customWidth="1"/>
    <col min="75" max="76" width="9.140625" style="11" hidden="1" customWidth="1"/>
    <col min="77" max="77" width="12.28515625" style="11" hidden="1" customWidth="1"/>
    <col min="78" max="78" width="14.28515625" style="11" hidden="1" customWidth="1"/>
    <col min="79" max="79" width="19.7109375" style="11" hidden="1" customWidth="1"/>
    <col min="80" max="80" width="11.5703125" style="11" hidden="1" customWidth="1"/>
    <col min="81" max="81" width="15.42578125" style="11" hidden="1" customWidth="1"/>
    <col min="82" max="82" width="22.28515625" style="11" hidden="1" customWidth="1"/>
    <col min="83" max="83" width="9.140625" style="11" customWidth="1"/>
    <col min="84" max="16384" width="9.140625" style="11"/>
  </cols>
  <sheetData>
    <row r="1" spans="1:82" ht="15" customHeight="1" x14ac:dyDescent="0.2">
      <c r="A1" s="1" t="s">
        <v>0</v>
      </c>
      <c r="B1" s="2"/>
      <c r="C1" s="3"/>
      <c r="D1" s="4"/>
      <c r="E1" s="4"/>
      <c r="F1" s="4"/>
      <c r="G1" s="4"/>
      <c r="H1" s="5"/>
      <c r="I1" s="5"/>
      <c r="J1" s="257" t="s">
        <v>308</v>
      </c>
      <c r="K1" s="5"/>
      <c r="L1" s="5"/>
      <c r="M1" s="5"/>
      <c r="N1" s="5"/>
      <c r="O1" s="6"/>
      <c r="P1" s="6"/>
      <c r="Q1" s="7"/>
      <c r="R1" s="8"/>
      <c r="S1" s="8"/>
      <c r="T1" s="8"/>
      <c r="U1" s="8"/>
      <c r="V1" s="9"/>
      <c r="W1" s="10"/>
      <c r="AC1" s="11" t="s">
        <v>1</v>
      </c>
      <c r="AD1" s="11" t="s">
        <v>2</v>
      </c>
      <c r="AE1" s="11" t="s">
        <v>3</v>
      </c>
      <c r="AF1" s="11" t="s">
        <v>4</v>
      </c>
      <c r="AG1" s="11" t="s">
        <v>5</v>
      </c>
      <c r="AH1" s="11" t="s">
        <v>6</v>
      </c>
      <c r="AI1" s="11" t="s">
        <v>7</v>
      </c>
      <c r="AJ1" s="11" t="s">
        <v>8</v>
      </c>
      <c r="AK1" s="11" t="s">
        <v>11</v>
      </c>
      <c r="AL1" s="11" t="s">
        <v>12</v>
      </c>
      <c r="AM1" s="11" t="s">
        <v>13</v>
      </c>
      <c r="AN1" s="11" t="s">
        <v>14</v>
      </c>
      <c r="AO1" s="11" t="s">
        <v>142</v>
      </c>
      <c r="AP1" s="11" t="s">
        <v>294</v>
      </c>
      <c r="AQ1" s="11" t="s">
        <v>20</v>
      </c>
      <c r="AR1" s="11" t="s">
        <v>21</v>
      </c>
      <c r="AS1" s="11" t="s">
        <v>17</v>
      </c>
      <c r="AT1" s="11" t="s">
        <v>15</v>
      </c>
      <c r="AU1" s="11" t="s">
        <v>16</v>
      </c>
      <c r="AV1" s="11" t="s">
        <v>18</v>
      </c>
      <c r="AW1" s="11" t="s">
        <v>19</v>
      </c>
      <c r="AX1" s="11" t="s">
        <v>9</v>
      </c>
      <c r="AY1" s="11" t="s">
        <v>10</v>
      </c>
      <c r="AZ1" s="11" t="s">
        <v>173</v>
      </c>
      <c r="BA1" s="11" t="s">
        <v>175</v>
      </c>
      <c r="BB1" s="11" t="s">
        <v>276</v>
      </c>
      <c r="BD1" s="11" t="s">
        <v>22</v>
      </c>
      <c r="BE1" s="11" t="s">
        <v>23</v>
      </c>
      <c r="BF1" s="11" t="s">
        <v>24</v>
      </c>
      <c r="BG1" s="11" t="s">
        <v>25</v>
      </c>
      <c r="BH1" s="11" t="s">
        <v>26</v>
      </c>
      <c r="BI1" s="11" t="s">
        <v>27</v>
      </c>
      <c r="BJ1" s="11" t="s">
        <v>28</v>
      </c>
      <c r="BK1" s="11" t="s">
        <v>29</v>
      </c>
      <c r="BL1" s="11" t="s">
        <v>30</v>
      </c>
      <c r="BM1" s="11" t="s">
        <v>31</v>
      </c>
      <c r="BN1" s="11" t="s">
        <v>32</v>
      </c>
      <c r="BO1" s="11" t="s">
        <v>33</v>
      </c>
      <c r="BP1" s="11" t="s">
        <v>34</v>
      </c>
      <c r="BQ1" s="11" t="s">
        <v>35</v>
      </c>
      <c r="BR1" s="11" t="s">
        <v>36</v>
      </c>
      <c r="BS1" s="11" t="s">
        <v>37</v>
      </c>
      <c r="BT1" s="11" t="s">
        <v>217</v>
      </c>
      <c r="BU1" s="11" t="s">
        <v>222</v>
      </c>
      <c r="BV1" s="11" t="s">
        <v>224</v>
      </c>
      <c r="BY1" s="11" t="s">
        <v>38</v>
      </c>
      <c r="BZ1" s="11" t="s">
        <v>277</v>
      </c>
      <c r="CA1" s="11" t="s">
        <v>39</v>
      </c>
      <c r="CB1" s="11" t="s">
        <v>277</v>
      </c>
      <c r="CC1" s="11" t="s">
        <v>277</v>
      </c>
      <c r="CD1" s="11" t="s">
        <v>277</v>
      </c>
    </row>
    <row r="2" spans="1:82" ht="36" customHeight="1" x14ac:dyDescent="0.2">
      <c r="A2" s="12" t="s">
        <v>40</v>
      </c>
      <c r="B2" s="141" t="s">
        <v>268</v>
      </c>
      <c r="C2" s="3"/>
      <c r="D2" s="5"/>
      <c r="E2" s="5"/>
      <c r="F2" s="5"/>
      <c r="G2" s="5"/>
      <c r="H2" s="5"/>
      <c r="I2" s="5"/>
      <c r="J2" s="14"/>
      <c r="K2" s="5"/>
      <c r="L2" s="5"/>
      <c r="M2" s="5"/>
      <c r="N2" s="5"/>
      <c r="O2" s="6"/>
      <c r="P2" s="6"/>
      <c r="Q2" s="7"/>
      <c r="R2" s="8"/>
      <c r="S2" s="8"/>
      <c r="T2" s="8"/>
      <c r="U2" s="8"/>
      <c r="V2" s="9"/>
      <c r="W2" s="10"/>
      <c r="AB2" s="15" t="s">
        <v>41</v>
      </c>
      <c r="AC2" s="16">
        <v>0.51</v>
      </c>
      <c r="AD2" s="16">
        <v>0.51</v>
      </c>
      <c r="AE2" s="16">
        <v>0.51</v>
      </c>
      <c r="AF2" s="16">
        <v>0.26</v>
      </c>
      <c r="AG2" s="16">
        <v>0.51</v>
      </c>
      <c r="AH2" s="16">
        <v>0.26</v>
      </c>
      <c r="AI2" s="16">
        <v>0.51</v>
      </c>
      <c r="AJ2" s="16">
        <v>0.51</v>
      </c>
      <c r="AK2" s="16">
        <v>0.26</v>
      </c>
      <c r="AL2" s="16">
        <v>0.51</v>
      </c>
      <c r="AM2" s="16">
        <v>0.26</v>
      </c>
      <c r="AN2" s="16">
        <v>0.26</v>
      </c>
      <c r="AO2" s="16">
        <v>0.26</v>
      </c>
      <c r="AP2" s="16">
        <v>0.26</v>
      </c>
      <c r="AQ2" s="16">
        <v>0.26</v>
      </c>
      <c r="AR2" s="16">
        <v>0.26</v>
      </c>
      <c r="AS2" s="16">
        <v>0.26</v>
      </c>
      <c r="AT2" s="16">
        <v>0.26</v>
      </c>
      <c r="AU2" s="16">
        <v>0.51</v>
      </c>
      <c r="AV2" s="16">
        <v>0.26</v>
      </c>
      <c r="AW2" s="16">
        <v>0.26</v>
      </c>
      <c r="AX2" s="16">
        <v>0.26</v>
      </c>
      <c r="AY2" s="16">
        <v>0.51</v>
      </c>
      <c r="AZ2" s="16">
        <v>0.51</v>
      </c>
      <c r="BA2" s="16">
        <v>0.26</v>
      </c>
      <c r="BB2" s="16">
        <v>0.26</v>
      </c>
      <c r="BD2" s="16">
        <v>0.26</v>
      </c>
      <c r="BE2" s="16">
        <v>0.26</v>
      </c>
      <c r="BF2" s="16">
        <v>0.51</v>
      </c>
      <c r="BG2" s="16">
        <v>0.26</v>
      </c>
      <c r="BH2" s="16">
        <v>0.51</v>
      </c>
      <c r="BI2" s="16">
        <v>0.26</v>
      </c>
      <c r="BJ2" s="16">
        <v>0.51</v>
      </c>
      <c r="BK2" s="16">
        <v>0.26</v>
      </c>
      <c r="BL2" s="16">
        <v>0.26</v>
      </c>
      <c r="BM2" s="16">
        <v>0.51</v>
      </c>
      <c r="BN2" s="16">
        <v>0.26</v>
      </c>
      <c r="BO2" s="16">
        <v>0.26</v>
      </c>
      <c r="BP2" s="16">
        <v>0.26</v>
      </c>
      <c r="BQ2" s="16">
        <v>0.26</v>
      </c>
      <c r="BR2" s="16">
        <v>0.26</v>
      </c>
      <c r="BS2" s="16">
        <v>0.26</v>
      </c>
      <c r="BT2" s="16">
        <v>0.51</v>
      </c>
      <c r="BU2" s="16">
        <v>0.26</v>
      </c>
      <c r="BV2" s="16">
        <v>0.26</v>
      </c>
      <c r="BW2" s="11" t="s">
        <v>42</v>
      </c>
      <c r="BX2" s="15" t="s">
        <v>43</v>
      </c>
      <c r="BZ2" s="11" t="s">
        <v>278</v>
      </c>
      <c r="CA2" s="11" t="s">
        <v>280</v>
      </c>
      <c r="CB2" s="11" t="s">
        <v>279</v>
      </c>
      <c r="CC2" s="11" t="s">
        <v>281</v>
      </c>
      <c r="CD2" s="17" t="s">
        <v>282</v>
      </c>
    </row>
    <row r="3" spans="1:82" ht="26.25" x14ac:dyDescent="0.2">
      <c r="A3" s="18" t="s">
        <v>44</v>
      </c>
      <c r="B3" s="19"/>
      <c r="C3" s="3"/>
      <c r="D3" s="5"/>
      <c r="E3" s="164" t="s">
        <v>263</v>
      </c>
      <c r="F3" s="164"/>
      <c r="G3" s="164"/>
      <c r="H3" s="164"/>
      <c r="I3" s="164"/>
      <c r="J3" s="164"/>
      <c r="K3" s="164"/>
      <c r="L3" s="164"/>
      <c r="M3" s="20"/>
      <c r="N3" s="21"/>
      <c r="O3" s="6"/>
      <c r="P3" s="6"/>
      <c r="Q3" s="7"/>
      <c r="R3" s="8"/>
      <c r="S3" s="8"/>
      <c r="T3" s="8"/>
      <c r="U3" s="8"/>
      <c r="V3" s="9"/>
      <c r="W3" s="10"/>
      <c r="AB3" s="15" t="s">
        <v>45</v>
      </c>
      <c r="AC3" s="16">
        <v>16.89</v>
      </c>
      <c r="AD3" s="16">
        <v>19.190000000000001</v>
      </c>
      <c r="AE3" s="16">
        <v>16.54</v>
      </c>
      <c r="AF3" s="16">
        <v>20.99</v>
      </c>
      <c r="AG3" s="16">
        <v>17.989999999999998</v>
      </c>
      <c r="AH3" s="16">
        <v>12.99</v>
      </c>
      <c r="AI3" s="16">
        <v>14.39</v>
      </c>
      <c r="AJ3" s="16">
        <v>16.14</v>
      </c>
      <c r="AK3" s="16">
        <v>13.14</v>
      </c>
      <c r="AL3" s="16">
        <v>14.64</v>
      </c>
      <c r="AM3" s="16">
        <v>18.34</v>
      </c>
      <c r="AN3" s="16">
        <v>19.09</v>
      </c>
      <c r="AO3" s="16">
        <v>18.239999999999998</v>
      </c>
      <c r="AP3" s="16">
        <v>20.239999999999998</v>
      </c>
      <c r="AQ3" s="16">
        <v>20.84</v>
      </c>
      <c r="AR3" s="16">
        <v>23.64</v>
      </c>
      <c r="AS3" s="16">
        <v>23.04</v>
      </c>
      <c r="AT3" s="16">
        <v>25.44</v>
      </c>
      <c r="AU3" s="16">
        <v>49.19</v>
      </c>
      <c r="AV3" s="16">
        <v>19.489999999999998</v>
      </c>
      <c r="AW3" s="16">
        <v>37.49</v>
      </c>
      <c r="AX3" s="16">
        <v>14.19</v>
      </c>
      <c r="AY3" s="16">
        <v>15.64</v>
      </c>
      <c r="AZ3" s="16">
        <v>21.99</v>
      </c>
      <c r="BA3" s="16">
        <v>14.19</v>
      </c>
      <c r="BB3" s="16">
        <v>21.69</v>
      </c>
      <c r="BD3" s="16">
        <v>23.54</v>
      </c>
      <c r="BE3" s="16">
        <v>21.29</v>
      </c>
      <c r="BF3" s="16">
        <v>22.44</v>
      </c>
      <c r="BG3" s="16">
        <v>20.84</v>
      </c>
      <c r="BH3" s="16">
        <v>24.34</v>
      </c>
      <c r="BI3" s="16">
        <v>22.59</v>
      </c>
      <c r="BJ3" s="16">
        <v>23.89</v>
      </c>
      <c r="BK3" s="16">
        <v>21.89</v>
      </c>
      <c r="BL3" s="16">
        <v>17.14</v>
      </c>
      <c r="BM3" s="16">
        <v>20.14</v>
      </c>
      <c r="BN3" s="16">
        <v>16.989999999999998</v>
      </c>
      <c r="BO3" s="16">
        <v>28.04</v>
      </c>
      <c r="BP3" s="16">
        <v>15.54</v>
      </c>
      <c r="BQ3" s="16">
        <v>18.29</v>
      </c>
      <c r="BR3" s="16">
        <v>10.039999999999999</v>
      </c>
      <c r="BS3" s="16">
        <v>13.89</v>
      </c>
      <c r="BT3" s="16">
        <v>17.09</v>
      </c>
      <c r="BU3" s="16">
        <v>14.64</v>
      </c>
      <c r="BV3" s="16">
        <v>16.940000000000001</v>
      </c>
      <c r="BW3" s="15" t="s">
        <v>43</v>
      </c>
      <c r="BX3" s="11" t="s">
        <v>42</v>
      </c>
      <c r="BZ3" s="11" t="s">
        <v>46</v>
      </c>
      <c r="CA3" s="15" t="s">
        <v>47</v>
      </c>
      <c r="CB3" s="11" t="s">
        <v>48</v>
      </c>
      <c r="CC3" s="11" t="s">
        <v>49</v>
      </c>
      <c r="CD3" s="17" t="s">
        <v>50</v>
      </c>
    </row>
    <row r="4" spans="1:82" ht="19.5" customHeight="1" x14ac:dyDescent="0.2">
      <c r="A4" s="12" t="s">
        <v>51</v>
      </c>
      <c r="B4" s="19" t="s">
        <v>262</v>
      </c>
      <c r="C4" s="3"/>
      <c r="D4" s="5"/>
      <c r="E4" s="164"/>
      <c r="F4" s="164"/>
      <c r="G4" s="164"/>
      <c r="H4" s="164"/>
      <c r="I4" s="164"/>
      <c r="J4" s="164"/>
      <c r="K4" s="164"/>
      <c r="L4" s="164"/>
      <c r="M4" s="20"/>
      <c r="N4" s="21"/>
      <c r="O4" s="6"/>
      <c r="P4" s="262"/>
      <c r="Q4" s="7"/>
      <c r="R4" s="8"/>
      <c r="S4" s="8"/>
      <c r="T4" s="8"/>
      <c r="U4" s="8"/>
      <c r="V4" s="9"/>
      <c r="W4" s="10"/>
      <c r="AB4" s="15" t="s">
        <v>52</v>
      </c>
      <c r="AC4" s="16">
        <v>16.89</v>
      </c>
      <c r="AD4" s="16">
        <v>19.190000000000001</v>
      </c>
      <c r="AE4" s="16">
        <v>16.54</v>
      </c>
      <c r="AF4" s="16">
        <v>20.99</v>
      </c>
      <c r="AG4" s="16">
        <v>17.989999999999998</v>
      </c>
      <c r="AH4" s="16">
        <v>12.99</v>
      </c>
      <c r="AI4" s="16">
        <v>14.39</v>
      </c>
      <c r="AJ4" s="16">
        <v>16.14</v>
      </c>
      <c r="AK4" s="16">
        <v>13.14</v>
      </c>
      <c r="AL4" s="16">
        <v>14.64</v>
      </c>
      <c r="AM4" s="16">
        <v>18.34</v>
      </c>
      <c r="AN4" s="16">
        <v>19.09</v>
      </c>
      <c r="AO4" s="16">
        <v>18.239999999999998</v>
      </c>
      <c r="AP4" s="16">
        <v>20.239999999999998</v>
      </c>
      <c r="AQ4" s="16">
        <v>20.84</v>
      </c>
      <c r="AR4" s="16">
        <v>23.64</v>
      </c>
      <c r="AS4" s="16">
        <v>23.04</v>
      </c>
      <c r="AT4" s="16">
        <v>25.44</v>
      </c>
      <c r="AU4" s="16">
        <v>49.19</v>
      </c>
      <c r="AV4" s="16">
        <v>19.489999999999998</v>
      </c>
      <c r="AW4" s="16">
        <v>37.49</v>
      </c>
      <c r="AX4" s="16">
        <v>14.19</v>
      </c>
      <c r="AY4" s="16">
        <v>15.64</v>
      </c>
      <c r="AZ4" s="16">
        <v>21.99</v>
      </c>
      <c r="BA4" s="16">
        <v>14.19</v>
      </c>
      <c r="BB4" s="16">
        <v>21.69</v>
      </c>
      <c r="BD4" s="16">
        <v>23.54</v>
      </c>
      <c r="BE4" s="16">
        <v>21.29</v>
      </c>
      <c r="BF4" s="16">
        <v>22.44</v>
      </c>
      <c r="BG4" s="16">
        <v>20.84</v>
      </c>
      <c r="BH4" s="16">
        <v>24.34</v>
      </c>
      <c r="BI4" s="16">
        <v>22.59</v>
      </c>
      <c r="BJ4" s="16">
        <v>23.89</v>
      </c>
      <c r="BK4" s="16">
        <v>21.89</v>
      </c>
      <c r="BL4" s="16">
        <v>17.14</v>
      </c>
      <c r="BM4" s="16">
        <v>20.14</v>
      </c>
      <c r="BN4" s="16">
        <v>16.989999999999998</v>
      </c>
      <c r="BO4" s="16">
        <v>28.04</v>
      </c>
      <c r="BP4" s="16">
        <v>15.54</v>
      </c>
      <c r="BQ4" s="16">
        <v>18.29</v>
      </c>
      <c r="BR4" s="16">
        <v>10.039999999999999</v>
      </c>
      <c r="BS4" s="16">
        <v>13.89</v>
      </c>
      <c r="BT4" s="16">
        <v>17.09</v>
      </c>
      <c r="BU4" s="16">
        <v>14.64</v>
      </c>
      <c r="BV4" s="16">
        <v>16.940000000000001</v>
      </c>
      <c r="BW4" s="15" t="s">
        <v>43</v>
      </c>
      <c r="BX4" s="11" t="s">
        <v>42</v>
      </c>
      <c r="CA4" s="15"/>
      <c r="CD4" s="17"/>
    </row>
    <row r="5" spans="1:82" ht="26.25" x14ac:dyDescent="0.2">
      <c r="A5" s="18" t="s">
        <v>53</v>
      </c>
      <c r="B5" s="19"/>
      <c r="C5" s="3"/>
      <c r="D5" s="5"/>
      <c r="E5" s="164"/>
      <c r="F5" s="164"/>
      <c r="G5" s="164"/>
      <c r="H5" s="164"/>
      <c r="I5" s="164"/>
      <c r="J5" s="164"/>
      <c r="K5" s="164"/>
      <c r="L5" s="164"/>
      <c r="M5" s="20"/>
      <c r="N5" s="21"/>
      <c r="O5" s="258"/>
      <c r="P5" s="258"/>
      <c r="Q5" s="259"/>
      <c r="R5" s="260"/>
      <c r="S5" s="260"/>
      <c r="T5" s="8"/>
      <c r="U5" s="8"/>
      <c r="V5" s="9"/>
      <c r="W5" s="10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CA5" s="15"/>
      <c r="CD5" s="17"/>
    </row>
    <row r="6" spans="1:82" ht="17.25" customHeight="1" thickBot="1" x14ac:dyDescent="0.25">
      <c r="A6" s="22" t="s">
        <v>54</v>
      </c>
      <c r="B6" s="13"/>
      <c r="C6" s="23"/>
      <c r="D6" s="5"/>
      <c r="E6" s="164"/>
      <c r="F6" s="164"/>
      <c r="G6" s="164"/>
      <c r="H6" s="164"/>
      <c r="I6" s="164"/>
      <c r="J6" s="164"/>
      <c r="K6" s="164"/>
      <c r="L6" s="164"/>
      <c r="M6" s="5"/>
      <c r="N6" s="5"/>
      <c r="O6" s="258"/>
      <c r="P6" s="258"/>
      <c r="Q6" s="259"/>
      <c r="R6" s="260"/>
      <c r="S6" s="260"/>
      <c r="T6" s="8"/>
      <c r="U6" s="8"/>
      <c r="V6" s="9"/>
      <c r="W6" s="10"/>
      <c r="BZ6" s="15" t="s">
        <v>55</v>
      </c>
      <c r="CA6" s="15" t="s">
        <v>56</v>
      </c>
      <c r="CB6" s="15" t="s">
        <v>57</v>
      </c>
      <c r="CC6" s="15" t="s">
        <v>58</v>
      </c>
      <c r="CD6" s="17" t="s">
        <v>59</v>
      </c>
    </row>
    <row r="7" spans="1:82" ht="24.75" customHeight="1" thickBot="1" x14ac:dyDescent="0.25">
      <c r="A7" s="22" t="s">
        <v>60</v>
      </c>
      <c r="B7" s="13"/>
      <c r="C7" s="24"/>
      <c r="D7" s="25"/>
      <c r="E7" s="165" t="s">
        <v>61</v>
      </c>
      <c r="F7" s="166"/>
      <c r="G7" s="166"/>
      <c r="H7" s="166"/>
      <c r="I7" s="167">
        <v>42552</v>
      </c>
      <c r="J7" s="168"/>
      <c r="K7" s="168"/>
      <c r="L7" s="26"/>
      <c r="M7" s="5"/>
      <c r="N7" s="5"/>
      <c r="O7" s="261" t="s">
        <v>62</v>
      </c>
      <c r="P7" s="261"/>
      <c r="Q7" s="261"/>
      <c r="R7" s="263" t="s">
        <v>52</v>
      </c>
      <c r="S7" s="264"/>
      <c r="T7" s="162" t="s">
        <v>63</v>
      </c>
      <c r="U7" s="163"/>
      <c r="V7" s="163"/>
      <c r="W7" s="10"/>
    </row>
    <row r="8" spans="1:82" ht="33.75" customHeight="1" x14ac:dyDescent="0.2">
      <c r="A8" s="27"/>
      <c r="B8" s="28"/>
      <c r="C8" s="256" t="s">
        <v>302</v>
      </c>
      <c r="D8" s="173"/>
      <c r="E8" s="174" t="s">
        <v>64</v>
      </c>
      <c r="F8" s="175"/>
      <c r="G8" s="175"/>
      <c r="H8" s="175"/>
      <c r="I8" s="176">
        <v>42916</v>
      </c>
      <c r="J8" s="177"/>
      <c r="K8" s="177"/>
      <c r="L8" s="29"/>
      <c r="M8" s="178" t="s">
        <v>288</v>
      </c>
      <c r="N8" s="178"/>
      <c r="O8" s="178"/>
      <c r="P8" s="178"/>
      <c r="Q8" s="178"/>
      <c r="R8" s="179"/>
      <c r="S8" s="30">
        <v>0.45300000000000001</v>
      </c>
      <c r="T8" s="163"/>
      <c r="U8" s="163"/>
      <c r="V8" s="163"/>
      <c r="W8" s="10"/>
    </row>
    <row r="9" spans="1:82" ht="53.25" customHeight="1" x14ac:dyDescent="0.2">
      <c r="A9" s="145" t="s">
        <v>292</v>
      </c>
      <c r="B9" s="28"/>
      <c r="C9" s="180" t="s">
        <v>303</v>
      </c>
      <c r="D9" s="181"/>
      <c r="E9" s="181"/>
      <c r="F9" s="181"/>
      <c r="G9" s="181"/>
      <c r="H9" s="181"/>
      <c r="I9" s="182"/>
      <c r="J9" s="182"/>
      <c r="K9" s="182"/>
      <c r="L9" s="183" t="s">
        <v>66</v>
      </c>
      <c r="M9" s="184"/>
      <c r="N9" s="184"/>
      <c r="O9" s="184"/>
      <c r="P9" s="184"/>
      <c r="Q9" s="185"/>
      <c r="R9" s="186" t="s">
        <v>67</v>
      </c>
      <c r="S9" s="187"/>
      <c r="T9" s="188" t="s">
        <v>68</v>
      </c>
      <c r="U9" s="188"/>
      <c r="V9" s="188"/>
      <c r="W9" s="189" t="s">
        <v>69</v>
      </c>
    </row>
    <row r="10" spans="1:82" s="143" customFormat="1" ht="84" x14ac:dyDescent="0.2">
      <c r="A10" s="192" t="s">
        <v>70</v>
      </c>
      <c r="B10" s="194" t="s">
        <v>71</v>
      </c>
      <c r="C10" s="196" t="s">
        <v>269</v>
      </c>
      <c r="D10" s="196" t="s">
        <v>72</v>
      </c>
      <c r="E10" s="192" t="s">
        <v>73</v>
      </c>
      <c r="F10" s="196" t="s">
        <v>74</v>
      </c>
      <c r="G10" s="192" t="s">
        <v>75</v>
      </c>
      <c r="H10" s="192" t="s">
        <v>76</v>
      </c>
      <c r="I10" s="192" t="s">
        <v>77</v>
      </c>
      <c r="J10" s="196" t="s">
        <v>78</v>
      </c>
      <c r="K10" s="196" t="s">
        <v>79</v>
      </c>
      <c r="L10" s="200" t="s">
        <v>291</v>
      </c>
      <c r="M10" s="202" t="str">
        <f>IF(ISNA(VLOOKUP($R$7,$AB$2:$BY$4,48,)),"", (VLOOKUP($R$7,$AB$2:$BY$4,48,)))</f>
        <v>FOB Indiana K12 Bid Price list</v>
      </c>
      <c r="N10" s="202" t="str">
        <f>IF(ISNA(VLOOKUP($R$7,$AB$2:$BY$4,49,)),"", (VLOOKUP($R$7,$AB$2:$BY$4,49,)))</f>
        <v>Maximum Distributor allowance to be taken</v>
      </c>
      <c r="O10" s="155" t="s">
        <v>81</v>
      </c>
      <c r="P10" s="210" t="s">
        <v>82</v>
      </c>
      <c r="Q10" s="155" t="s">
        <v>83</v>
      </c>
      <c r="R10" s="212" t="s">
        <v>287</v>
      </c>
      <c r="S10" s="204" t="s">
        <v>84</v>
      </c>
      <c r="T10" s="198" t="s">
        <v>85</v>
      </c>
      <c r="U10" s="204" t="s">
        <v>86</v>
      </c>
      <c r="V10" s="198" t="s">
        <v>87</v>
      </c>
      <c r="W10" s="190"/>
    </row>
    <row r="11" spans="1:82" ht="35.25" customHeight="1" x14ac:dyDescent="0.2">
      <c r="A11" s="193"/>
      <c r="B11" s="195"/>
      <c r="C11" s="197"/>
      <c r="D11" s="197"/>
      <c r="E11" s="193"/>
      <c r="F11" s="197"/>
      <c r="G11" s="193"/>
      <c r="H11" s="193"/>
      <c r="I11" s="193"/>
      <c r="J11" s="197"/>
      <c r="K11" s="197"/>
      <c r="L11" s="201"/>
      <c r="M11" s="203"/>
      <c r="N11" s="203"/>
      <c r="O11" s="31">
        <v>3.88</v>
      </c>
      <c r="P11" s="211"/>
      <c r="Q11" s="31">
        <v>0</v>
      </c>
      <c r="R11" s="213"/>
      <c r="S11" s="205"/>
      <c r="T11" s="199"/>
      <c r="U11" s="205"/>
      <c r="V11" s="199"/>
      <c r="W11" s="191"/>
    </row>
    <row r="12" spans="1:82" ht="15" customHeight="1" x14ac:dyDescent="0.2">
      <c r="A12" s="206" t="s">
        <v>299</v>
      </c>
      <c r="B12" s="207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  <c r="W12" s="10"/>
    </row>
    <row r="13" spans="1:82" ht="15" customHeight="1" x14ac:dyDescent="0.2">
      <c r="A13" s="32" t="s">
        <v>88</v>
      </c>
      <c r="B13" s="33" t="s">
        <v>1</v>
      </c>
      <c r="C13" s="34" t="s">
        <v>89</v>
      </c>
      <c r="D13" s="35" t="s">
        <v>90</v>
      </c>
      <c r="E13" s="35" t="s">
        <v>91</v>
      </c>
      <c r="F13" s="36">
        <v>6</v>
      </c>
      <c r="G13" s="33">
        <v>49</v>
      </c>
      <c r="H13" s="37">
        <v>43.13</v>
      </c>
      <c r="I13" s="38">
        <v>1</v>
      </c>
      <c r="J13" s="33" t="s">
        <v>92</v>
      </c>
      <c r="K13" s="39" t="s">
        <v>93</v>
      </c>
      <c r="L13" s="40">
        <v>18.350000000000001</v>
      </c>
      <c r="M13" s="120">
        <v>15.98</v>
      </c>
      <c r="N13" s="42">
        <f t="shared" ref="N13:N26" si="0">L13-M13</f>
        <v>2.370000000000001</v>
      </c>
      <c r="O13" s="43">
        <f t="shared" ref="O13:O26" si="1">(G13*$O$11/100)</f>
        <v>1.9012</v>
      </c>
      <c r="P13" s="44">
        <f t="shared" ref="P13:P26" si="2">IF(M13&gt;5,M13+O13,N13+O13)</f>
        <v>17.8812</v>
      </c>
      <c r="Q13" s="45">
        <f t="shared" ref="Q13:Q26" si="3">IF(M13&gt;5,(M13+($Q$11*G13/100)),(N13+($Q$11*G13/100)))</f>
        <v>15.98</v>
      </c>
      <c r="R13" s="46">
        <f>SUM(S13*$S$8)</f>
        <v>4.4439299999999999</v>
      </c>
      <c r="S13" s="150">
        <v>9.81</v>
      </c>
      <c r="T13" s="46">
        <f>P13-R13</f>
        <v>13.43727</v>
      </c>
      <c r="U13" s="46">
        <f t="shared" ref="U13:U26" si="4">T13/F13</f>
        <v>2.2395450000000001</v>
      </c>
      <c r="V13" s="47">
        <f>Q13-R13</f>
        <v>11.53607</v>
      </c>
      <c r="W13" s="10" t="s">
        <v>305</v>
      </c>
    </row>
    <row r="14" spans="1:82" ht="15" customHeight="1" x14ac:dyDescent="0.2">
      <c r="A14" s="48" t="s">
        <v>94</v>
      </c>
      <c r="B14" s="49" t="s">
        <v>2</v>
      </c>
      <c r="C14" s="50" t="s">
        <v>95</v>
      </c>
      <c r="D14" s="51" t="s">
        <v>90</v>
      </c>
      <c r="E14" s="51" t="s">
        <v>96</v>
      </c>
      <c r="F14" s="52">
        <v>6</v>
      </c>
      <c r="G14" s="49">
        <v>49</v>
      </c>
      <c r="H14" s="53">
        <v>42.75</v>
      </c>
      <c r="I14" s="54">
        <v>1</v>
      </c>
      <c r="J14" s="49" t="s">
        <v>92</v>
      </c>
      <c r="K14" s="55" t="s">
        <v>93</v>
      </c>
      <c r="L14" s="56">
        <v>21</v>
      </c>
      <c r="M14" s="120">
        <f>IF(ISNA(VLOOKUP($R$7,$AB$2:$BS$4,3,)),"", (VLOOKUP($R$7,$AB$2:$BS$4,3,)))</f>
        <v>19.190000000000001</v>
      </c>
      <c r="N14" s="57">
        <f t="shared" si="0"/>
        <v>1.8099999999999987</v>
      </c>
      <c r="O14" s="43">
        <f t="shared" si="1"/>
        <v>1.9012</v>
      </c>
      <c r="P14" s="44">
        <f t="shared" si="2"/>
        <v>21.091200000000001</v>
      </c>
      <c r="Q14" s="45">
        <f t="shared" si="3"/>
        <v>19.190000000000001</v>
      </c>
      <c r="R14" s="46">
        <f t="shared" ref="R14:R58" si="5">SUM(S14*$S$8)</f>
        <v>4.7066700000000008</v>
      </c>
      <c r="S14" s="150">
        <v>10.39</v>
      </c>
      <c r="T14" s="46">
        <f t="shared" ref="T14:T58" si="6">P14-R14</f>
        <v>16.384529999999998</v>
      </c>
      <c r="U14" s="46">
        <f t="shared" si="4"/>
        <v>2.7307549999999998</v>
      </c>
      <c r="V14" s="47">
        <f t="shared" ref="V14:V58" si="7">Q14-R14</f>
        <v>14.48333</v>
      </c>
      <c r="W14" s="10"/>
    </row>
    <row r="15" spans="1:82" ht="15" customHeight="1" x14ac:dyDescent="0.2">
      <c r="A15" s="58" t="s">
        <v>97</v>
      </c>
      <c r="B15" s="59" t="s">
        <v>3</v>
      </c>
      <c r="C15" s="60" t="s">
        <v>98</v>
      </c>
      <c r="D15" s="51" t="s">
        <v>99</v>
      </c>
      <c r="E15" s="51" t="s">
        <v>96</v>
      </c>
      <c r="F15" s="52">
        <v>6</v>
      </c>
      <c r="G15" s="59">
        <v>45</v>
      </c>
      <c r="H15" s="61">
        <v>42.75</v>
      </c>
      <c r="I15" s="62">
        <v>1</v>
      </c>
      <c r="J15" s="59" t="s">
        <v>92</v>
      </c>
      <c r="K15" s="55" t="s">
        <v>93</v>
      </c>
      <c r="L15" s="56">
        <v>17.399999999999999</v>
      </c>
      <c r="M15" s="120">
        <f>IF(ISNA(VLOOKUP($R$7,$AB$2:$BS$4,4,)),"", (VLOOKUP($R$7,$AB$2:$BS$4,4,)))</f>
        <v>16.54</v>
      </c>
      <c r="N15" s="57">
        <f t="shared" si="0"/>
        <v>0.85999999999999943</v>
      </c>
      <c r="O15" s="43">
        <f t="shared" si="1"/>
        <v>1.746</v>
      </c>
      <c r="P15" s="44">
        <f t="shared" si="2"/>
        <v>18.285999999999998</v>
      </c>
      <c r="Q15" s="45">
        <f t="shared" si="3"/>
        <v>16.54</v>
      </c>
      <c r="R15" s="46">
        <f t="shared" si="5"/>
        <v>4.4031600000000006</v>
      </c>
      <c r="S15" s="150">
        <v>9.7200000000000006</v>
      </c>
      <c r="T15" s="46">
        <f t="shared" si="6"/>
        <v>13.882839999999998</v>
      </c>
      <c r="U15" s="46">
        <f t="shared" si="4"/>
        <v>2.3138066666666663</v>
      </c>
      <c r="V15" s="47">
        <f t="shared" si="7"/>
        <v>12.136839999999999</v>
      </c>
      <c r="W15" s="10"/>
    </row>
    <row r="16" spans="1:82" ht="15" customHeight="1" x14ac:dyDescent="0.2">
      <c r="A16" s="58" t="s">
        <v>100</v>
      </c>
      <c r="B16" s="63" t="s">
        <v>4</v>
      </c>
      <c r="C16" s="60" t="s">
        <v>101</v>
      </c>
      <c r="D16" s="59" t="s">
        <v>102</v>
      </c>
      <c r="E16" s="59" t="s">
        <v>96</v>
      </c>
      <c r="F16" s="49">
        <v>6</v>
      </c>
      <c r="G16" s="59">
        <v>48</v>
      </c>
      <c r="H16" s="61">
        <v>42.75</v>
      </c>
      <c r="I16" s="62">
        <v>1</v>
      </c>
      <c r="J16" s="59" t="s">
        <v>103</v>
      </c>
      <c r="K16" s="55" t="s">
        <v>93</v>
      </c>
      <c r="L16" s="56">
        <v>21.55</v>
      </c>
      <c r="M16" s="120">
        <f>IF(ISNA(VLOOKUP($R$7,$AB$2:$BS$4,5,)),"", (VLOOKUP($R$7,$AB$2:$BS$4,5,)))</f>
        <v>20.99</v>
      </c>
      <c r="N16" s="57">
        <f t="shared" si="0"/>
        <v>0.56000000000000227</v>
      </c>
      <c r="O16" s="43">
        <f t="shared" si="1"/>
        <v>1.8624000000000001</v>
      </c>
      <c r="P16" s="44">
        <f t="shared" si="2"/>
        <v>22.852399999999999</v>
      </c>
      <c r="Q16" s="45">
        <f t="shared" si="3"/>
        <v>20.99</v>
      </c>
      <c r="R16" s="46">
        <f t="shared" si="5"/>
        <v>4.4031600000000006</v>
      </c>
      <c r="S16" s="150">
        <v>9.7200000000000006</v>
      </c>
      <c r="T16" s="46">
        <f t="shared" si="6"/>
        <v>18.44924</v>
      </c>
      <c r="U16" s="46">
        <f t="shared" si="4"/>
        <v>3.0748733333333331</v>
      </c>
      <c r="V16" s="47">
        <f t="shared" si="7"/>
        <v>16.586839999999999</v>
      </c>
      <c r="W16" s="10"/>
    </row>
    <row r="17" spans="1:23" ht="15" customHeight="1" x14ac:dyDescent="0.2">
      <c r="A17" s="58" t="s">
        <v>104</v>
      </c>
      <c r="B17" s="63" t="s">
        <v>5</v>
      </c>
      <c r="C17" s="60" t="s">
        <v>105</v>
      </c>
      <c r="D17" s="59" t="s">
        <v>106</v>
      </c>
      <c r="E17" s="59" t="s">
        <v>107</v>
      </c>
      <c r="F17" s="49">
        <v>9</v>
      </c>
      <c r="G17" s="59">
        <v>41</v>
      </c>
      <c r="H17" s="61">
        <v>36</v>
      </c>
      <c r="I17" s="62">
        <v>1.35</v>
      </c>
      <c r="J17" s="59" t="s">
        <v>108</v>
      </c>
      <c r="K17" s="55" t="s">
        <v>109</v>
      </c>
      <c r="L17" s="56">
        <v>18.600000000000001</v>
      </c>
      <c r="M17" s="120">
        <f>IF(ISNA(VLOOKUP($R$7,$AB$2:$BS$4,6,)),"", (VLOOKUP($R$7,$AB$2:$BS$4,6,)))</f>
        <v>17.989999999999998</v>
      </c>
      <c r="N17" s="57">
        <f t="shared" si="0"/>
        <v>0.61000000000000298</v>
      </c>
      <c r="O17" s="43">
        <f t="shared" si="1"/>
        <v>1.5907999999999998</v>
      </c>
      <c r="P17" s="44">
        <f t="shared" si="2"/>
        <v>19.580799999999996</v>
      </c>
      <c r="Q17" s="45">
        <f t="shared" si="3"/>
        <v>17.989999999999998</v>
      </c>
      <c r="R17" s="46">
        <f t="shared" si="5"/>
        <v>3.7281900000000001</v>
      </c>
      <c r="S17" s="150">
        <v>8.23</v>
      </c>
      <c r="T17" s="46">
        <f t="shared" si="6"/>
        <v>15.852609999999997</v>
      </c>
      <c r="U17" s="46">
        <f t="shared" si="4"/>
        <v>1.7614011111111108</v>
      </c>
      <c r="V17" s="47">
        <f t="shared" si="7"/>
        <v>14.261809999999999</v>
      </c>
      <c r="W17" s="10"/>
    </row>
    <row r="18" spans="1:23" ht="15" customHeight="1" x14ac:dyDescent="0.2">
      <c r="A18" s="58" t="s">
        <v>110</v>
      </c>
      <c r="B18" s="59" t="s">
        <v>6</v>
      </c>
      <c r="C18" s="60" t="s">
        <v>111</v>
      </c>
      <c r="D18" s="59" t="s">
        <v>112</v>
      </c>
      <c r="E18" s="59" t="s">
        <v>113</v>
      </c>
      <c r="F18" s="49">
        <v>1</v>
      </c>
      <c r="G18" s="59">
        <v>31</v>
      </c>
      <c r="H18" s="61">
        <v>28.5</v>
      </c>
      <c r="I18" s="62">
        <v>0.56000000000000005</v>
      </c>
      <c r="J18" s="59" t="s">
        <v>114</v>
      </c>
      <c r="K18" s="55" t="s">
        <v>115</v>
      </c>
      <c r="L18" s="56">
        <v>13.9</v>
      </c>
      <c r="M18" s="120">
        <f>IF(ISNA(VLOOKUP($R$7,$AB$2:$BS$4,7,)),"", (VLOOKUP($R$7,$AB$2:$BS$4,7,)))</f>
        <v>12.99</v>
      </c>
      <c r="N18" s="57">
        <f t="shared" si="0"/>
        <v>0.91000000000000014</v>
      </c>
      <c r="O18" s="43">
        <f t="shared" si="1"/>
        <v>1.2028000000000001</v>
      </c>
      <c r="P18" s="44">
        <f t="shared" si="2"/>
        <v>14.1928</v>
      </c>
      <c r="Q18" s="45">
        <f t="shared" si="3"/>
        <v>12.99</v>
      </c>
      <c r="R18" s="46">
        <f t="shared" si="5"/>
        <v>2.9354400000000003</v>
      </c>
      <c r="S18" s="150">
        <v>6.48</v>
      </c>
      <c r="T18" s="46">
        <f t="shared" si="6"/>
        <v>11.25736</v>
      </c>
      <c r="U18" s="46">
        <f t="shared" si="4"/>
        <v>11.25736</v>
      </c>
      <c r="V18" s="47">
        <f t="shared" si="7"/>
        <v>10.05456</v>
      </c>
      <c r="W18" s="10"/>
    </row>
    <row r="19" spans="1:23" ht="15" customHeight="1" x14ac:dyDescent="0.2">
      <c r="A19" s="58" t="s">
        <v>116</v>
      </c>
      <c r="B19" s="59" t="s">
        <v>7</v>
      </c>
      <c r="C19" s="60" t="s">
        <v>117</v>
      </c>
      <c r="D19" s="59" t="s">
        <v>112</v>
      </c>
      <c r="E19" s="59" t="s">
        <v>113</v>
      </c>
      <c r="F19" s="49">
        <v>1</v>
      </c>
      <c r="G19" s="59">
        <v>31</v>
      </c>
      <c r="H19" s="61">
        <v>28.5</v>
      </c>
      <c r="I19" s="62">
        <v>0.56000000000000005</v>
      </c>
      <c r="J19" s="59" t="s">
        <v>114</v>
      </c>
      <c r="K19" s="55" t="s">
        <v>118</v>
      </c>
      <c r="L19" s="56">
        <v>16</v>
      </c>
      <c r="M19" s="120">
        <f>IF(ISNA(VLOOKUP($R$7,$AB$2:$BS$4,8,)),"", (VLOOKUP($R$7,$AB$2:$BS$4,8,)))</f>
        <v>14.39</v>
      </c>
      <c r="N19" s="57">
        <f t="shared" si="0"/>
        <v>1.6099999999999994</v>
      </c>
      <c r="O19" s="43">
        <f t="shared" si="1"/>
        <v>1.2028000000000001</v>
      </c>
      <c r="P19" s="44">
        <f t="shared" si="2"/>
        <v>15.5928</v>
      </c>
      <c r="Q19" s="45">
        <f t="shared" si="3"/>
        <v>14.39</v>
      </c>
      <c r="R19" s="46">
        <f t="shared" si="5"/>
        <v>3.1392899999999999</v>
      </c>
      <c r="S19" s="150">
        <v>6.93</v>
      </c>
      <c r="T19" s="46">
        <f t="shared" si="6"/>
        <v>12.453510000000001</v>
      </c>
      <c r="U19" s="46">
        <f t="shared" si="4"/>
        <v>12.453510000000001</v>
      </c>
      <c r="V19" s="47">
        <f t="shared" si="7"/>
        <v>11.250710000000002</v>
      </c>
      <c r="W19" s="10"/>
    </row>
    <row r="20" spans="1:23" ht="15" customHeight="1" x14ac:dyDescent="0.2">
      <c r="A20" s="58" t="s">
        <v>119</v>
      </c>
      <c r="B20" s="59" t="s">
        <v>8</v>
      </c>
      <c r="C20" s="126" t="s">
        <v>261</v>
      </c>
      <c r="D20" s="51" t="s">
        <v>120</v>
      </c>
      <c r="E20" s="51" t="s">
        <v>121</v>
      </c>
      <c r="F20" s="52">
        <v>3</v>
      </c>
      <c r="G20" s="59">
        <v>45</v>
      </c>
      <c r="H20" s="61">
        <v>43.5</v>
      </c>
      <c r="I20" s="62">
        <v>0.9</v>
      </c>
      <c r="J20" s="59" t="s">
        <v>122</v>
      </c>
      <c r="K20" s="55" t="s">
        <v>123</v>
      </c>
      <c r="L20" s="56">
        <v>16.649999999999999</v>
      </c>
      <c r="M20" s="120">
        <f>IF(ISNA(VLOOKUP($R$7,$AB$2:$BS$4,9,)),"", (VLOOKUP($R$7,$AB$2:$BS$4,9,)))</f>
        <v>16.14</v>
      </c>
      <c r="N20" s="57">
        <f t="shared" si="0"/>
        <v>0.50999999999999801</v>
      </c>
      <c r="O20" s="43">
        <f t="shared" si="1"/>
        <v>1.746</v>
      </c>
      <c r="P20" s="44">
        <f t="shared" si="2"/>
        <v>17.885999999999999</v>
      </c>
      <c r="Q20" s="45">
        <f t="shared" si="3"/>
        <v>16.14</v>
      </c>
      <c r="R20" s="46">
        <f t="shared" si="5"/>
        <v>4.4801700000000002</v>
      </c>
      <c r="S20" s="150">
        <v>9.89</v>
      </c>
      <c r="T20" s="46">
        <f t="shared" si="6"/>
        <v>13.405829999999998</v>
      </c>
      <c r="U20" s="46">
        <f t="shared" si="4"/>
        <v>4.4686099999999991</v>
      </c>
      <c r="V20" s="47">
        <f t="shared" si="7"/>
        <v>11.659829999999999</v>
      </c>
      <c r="W20" s="10"/>
    </row>
    <row r="21" spans="1:23" ht="15" customHeight="1" x14ac:dyDescent="0.2">
      <c r="A21" s="32" t="s">
        <v>127</v>
      </c>
      <c r="B21" s="33" t="s">
        <v>11</v>
      </c>
      <c r="C21" s="34" t="s">
        <v>128</v>
      </c>
      <c r="D21" s="33" t="s">
        <v>129</v>
      </c>
      <c r="E21" s="33" t="s">
        <v>130</v>
      </c>
      <c r="F21" s="33">
        <v>1000</v>
      </c>
      <c r="G21" s="33">
        <v>23</v>
      </c>
      <c r="H21" s="37">
        <v>19.84</v>
      </c>
      <c r="I21" s="38">
        <v>0.8</v>
      </c>
      <c r="J21" s="33" t="s">
        <v>131</v>
      </c>
      <c r="K21" s="39" t="s">
        <v>132</v>
      </c>
      <c r="L21" s="40">
        <v>15.05</v>
      </c>
      <c r="M21" s="120">
        <v>10.24</v>
      </c>
      <c r="N21" s="42">
        <f t="shared" si="0"/>
        <v>4.8100000000000005</v>
      </c>
      <c r="O21" s="43">
        <f t="shared" si="1"/>
        <v>0.89239999999999997</v>
      </c>
      <c r="P21" s="44">
        <f t="shared" si="2"/>
        <v>11.132400000000001</v>
      </c>
      <c r="Q21" s="45">
        <f t="shared" si="3"/>
        <v>10.24</v>
      </c>
      <c r="R21" s="46">
        <f t="shared" ref="R21:R26" si="8">SUM(S21*$S$8)</f>
        <v>1.90713</v>
      </c>
      <c r="S21" s="150">
        <v>4.21</v>
      </c>
      <c r="T21" s="46">
        <f t="shared" ref="T21:T26" si="9">P21-R21</f>
        <v>9.2252700000000001</v>
      </c>
      <c r="U21" s="46">
        <f t="shared" si="4"/>
        <v>9.2252700000000007E-3</v>
      </c>
      <c r="V21" s="47">
        <f t="shared" ref="V21:V26" si="10">Q21-R21</f>
        <v>8.3328699999999998</v>
      </c>
      <c r="W21" s="10" t="s">
        <v>304</v>
      </c>
    </row>
    <row r="22" spans="1:23" ht="15" customHeight="1" x14ac:dyDescent="0.2">
      <c r="A22" s="48" t="s">
        <v>133</v>
      </c>
      <c r="B22" s="49" t="s">
        <v>12</v>
      </c>
      <c r="C22" s="50" t="s">
        <v>134</v>
      </c>
      <c r="D22" s="59" t="s">
        <v>129</v>
      </c>
      <c r="E22" s="59" t="s">
        <v>130</v>
      </c>
      <c r="F22" s="49">
        <v>1000</v>
      </c>
      <c r="G22" s="49">
        <v>23</v>
      </c>
      <c r="H22" s="53">
        <v>19.84</v>
      </c>
      <c r="I22" s="65">
        <v>0.8</v>
      </c>
      <c r="J22" s="49" t="s">
        <v>131</v>
      </c>
      <c r="K22" s="66" t="s">
        <v>132</v>
      </c>
      <c r="L22" s="56">
        <v>17.149999999999999</v>
      </c>
      <c r="M22" s="120">
        <v>11.95</v>
      </c>
      <c r="N22" s="57">
        <f t="shared" si="0"/>
        <v>5.1999999999999993</v>
      </c>
      <c r="O22" s="43">
        <f t="shared" si="1"/>
        <v>0.89239999999999997</v>
      </c>
      <c r="P22" s="44">
        <f t="shared" si="2"/>
        <v>12.8424</v>
      </c>
      <c r="Q22" s="45">
        <f t="shared" si="3"/>
        <v>11.95</v>
      </c>
      <c r="R22" s="46">
        <f t="shared" si="8"/>
        <v>2.1789299999999998</v>
      </c>
      <c r="S22" s="150">
        <v>4.8099999999999996</v>
      </c>
      <c r="T22" s="46">
        <f t="shared" si="9"/>
        <v>10.66347</v>
      </c>
      <c r="U22" s="46">
        <f t="shared" si="4"/>
        <v>1.066347E-2</v>
      </c>
      <c r="V22" s="47">
        <f t="shared" si="10"/>
        <v>9.7710699999999999</v>
      </c>
      <c r="W22" s="10" t="s">
        <v>304</v>
      </c>
    </row>
    <row r="23" spans="1:23" ht="15" customHeight="1" x14ac:dyDescent="0.2">
      <c r="A23" s="58" t="s">
        <v>135</v>
      </c>
      <c r="B23" s="59" t="s">
        <v>13</v>
      </c>
      <c r="C23" s="126" t="s">
        <v>253</v>
      </c>
      <c r="D23" s="59" t="s">
        <v>136</v>
      </c>
      <c r="E23" s="59" t="s">
        <v>137</v>
      </c>
      <c r="F23" s="59">
        <v>250</v>
      </c>
      <c r="G23" s="59">
        <v>18</v>
      </c>
      <c r="H23" s="61">
        <v>15.63</v>
      </c>
      <c r="I23" s="62">
        <v>0.6</v>
      </c>
      <c r="J23" s="59" t="s">
        <v>138</v>
      </c>
      <c r="K23" s="55" t="s">
        <v>139</v>
      </c>
      <c r="L23" s="67">
        <v>18.600000000000001</v>
      </c>
      <c r="M23" s="120">
        <f>IF(ISNA(VLOOKUP($R$7,$AB$2:$BS$4,12,)),"", (VLOOKUP($R$7,$AB$2:$BS$4,12,)))</f>
        <v>18.34</v>
      </c>
      <c r="N23" s="57">
        <f t="shared" si="0"/>
        <v>0.26000000000000156</v>
      </c>
      <c r="O23" s="43">
        <f t="shared" si="1"/>
        <v>0.69840000000000002</v>
      </c>
      <c r="P23" s="44">
        <f t="shared" si="2"/>
        <v>19.038399999999999</v>
      </c>
      <c r="Q23" s="45">
        <f t="shared" si="3"/>
        <v>18.34</v>
      </c>
      <c r="R23" s="46">
        <f t="shared" si="8"/>
        <v>1.6126800000000001</v>
      </c>
      <c r="S23" s="150">
        <v>3.56</v>
      </c>
      <c r="T23" s="46">
        <f t="shared" si="9"/>
        <v>17.425719999999998</v>
      </c>
      <c r="U23" s="46">
        <f t="shared" si="4"/>
        <v>6.9702879999999995E-2</v>
      </c>
      <c r="V23" s="47">
        <f t="shared" si="10"/>
        <v>16.727319999999999</v>
      </c>
      <c r="W23" s="10"/>
    </row>
    <row r="24" spans="1:23" ht="15" customHeight="1" x14ac:dyDescent="0.2">
      <c r="A24" s="58" t="s">
        <v>140</v>
      </c>
      <c r="B24" s="59" t="s">
        <v>14</v>
      </c>
      <c r="C24" s="126" t="s">
        <v>254</v>
      </c>
      <c r="D24" s="59" t="s">
        <v>136</v>
      </c>
      <c r="E24" s="59" t="s">
        <v>137</v>
      </c>
      <c r="F24" s="59">
        <v>250</v>
      </c>
      <c r="G24" s="59">
        <v>18</v>
      </c>
      <c r="H24" s="61">
        <v>15.63</v>
      </c>
      <c r="I24" s="62">
        <v>0.6</v>
      </c>
      <c r="J24" s="59" t="s">
        <v>138</v>
      </c>
      <c r="K24" s="55" t="s">
        <v>139</v>
      </c>
      <c r="L24" s="67">
        <v>19.350000000000001</v>
      </c>
      <c r="M24" s="120">
        <f>IF(ISNA(VLOOKUP($R$7,$AB$2:$BS$4,13,)),"", (VLOOKUP($R$7,$AB$2:$BS$4,13,)))</f>
        <v>19.09</v>
      </c>
      <c r="N24" s="57">
        <f t="shared" si="0"/>
        <v>0.26000000000000156</v>
      </c>
      <c r="O24" s="43">
        <f t="shared" si="1"/>
        <v>0.69840000000000002</v>
      </c>
      <c r="P24" s="44">
        <f t="shared" si="2"/>
        <v>19.788399999999999</v>
      </c>
      <c r="Q24" s="45">
        <f t="shared" si="3"/>
        <v>19.09</v>
      </c>
      <c r="R24" s="46">
        <f t="shared" si="8"/>
        <v>2.0294400000000001</v>
      </c>
      <c r="S24" s="150">
        <v>4.4800000000000004</v>
      </c>
      <c r="T24" s="46">
        <f t="shared" si="9"/>
        <v>17.758959999999998</v>
      </c>
      <c r="U24" s="46">
        <f t="shared" si="4"/>
        <v>7.1035839999999989E-2</v>
      </c>
      <c r="V24" s="47">
        <f t="shared" si="10"/>
        <v>17.060559999999999</v>
      </c>
      <c r="W24" s="10"/>
    </row>
    <row r="25" spans="1:23" ht="15" customHeight="1" x14ac:dyDescent="0.2">
      <c r="A25" s="58" t="s">
        <v>141</v>
      </c>
      <c r="B25" s="68" t="s">
        <v>142</v>
      </c>
      <c r="C25" s="126" t="s">
        <v>255</v>
      </c>
      <c r="D25" s="59" t="s">
        <v>143</v>
      </c>
      <c r="E25" s="59" t="s">
        <v>144</v>
      </c>
      <c r="F25" s="59">
        <v>12</v>
      </c>
      <c r="G25" s="59">
        <v>18</v>
      </c>
      <c r="H25" s="61">
        <v>15</v>
      </c>
      <c r="I25" s="62">
        <v>0.49</v>
      </c>
      <c r="J25" s="59" t="s">
        <v>145</v>
      </c>
      <c r="K25" s="55" t="s">
        <v>146</v>
      </c>
      <c r="L25" s="67">
        <v>18.5</v>
      </c>
      <c r="M25" s="120">
        <f>IF(ISNA(VLOOKUP($R$7,$AB$2:$BS$4,14,)),"", (VLOOKUP($R$7,$AB$2:$BS$4,14,)))</f>
        <v>18.239999999999998</v>
      </c>
      <c r="N25" s="57">
        <f t="shared" si="0"/>
        <v>0.26000000000000156</v>
      </c>
      <c r="O25" s="43">
        <f t="shared" si="1"/>
        <v>0.69840000000000002</v>
      </c>
      <c r="P25" s="44">
        <f t="shared" si="2"/>
        <v>18.938399999999998</v>
      </c>
      <c r="Q25" s="45">
        <f t="shared" si="3"/>
        <v>18.239999999999998</v>
      </c>
      <c r="R25" s="46">
        <f t="shared" si="8"/>
        <v>1.51302</v>
      </c>
      <c r="S25" s="150">
        <v>3.34</v>
      </c>
      <c r="T25" s="46">
        <f t="shared" si="9"/>
        <v>17.425379999999997</v>
      </c>
      <c r="U25" s="46">
        <f t="shared" si="4"/>
        <v>1.4521149999999998</v>
      </c>
      <c r="V25" s="47">
        <f t="shared" si="10"/>
        <v>16.726979999999998</v>
      </c>
      <c r="W25" s="10"/>
    </row>
    <row r="26" spans="1:23" ht="15" customHeight="1" x14ac:dyDescent="0.2">
      <c r="A26" s="69" t="s">
        <v>293</v>
      </c>
      <c r="B26" s="156" t="s">
        <v>294</v>
      </c>
      <c r="C26" s="126" t="s">
        <v>295</v>
      </c>
      <c r="D26" s="92" t="s">
        <v>296</v>
      </c>
      <c r="E26" s="92" t="s">
        <v>297</v>
      </c>
      <c r="F26" s="49">
        <v>1000</v>
      </c>
      <c r="G26" s="49">
        <v>21</v>
      </c>
      <c r="H26" s="53">
        <v>17.5</v>
      </c>
      <c r="I26" s="65">
        <v>0.8</v>
      </c>
      <c r="J26" s="49" t="s">
        <v>131</v>
      </c>
      <c r="K26" s="66" t="s">
        <v>132</v>
      </c>
      <c r="L26" s="67">
        <v>20.5</v>
      </c>
      <c r="M26" s="120">
        <f>IF(ISNA(VLOOKUP($R$7,$AB$2:$BS$4,15,)),"", (VLOOKUP($R$7,$AB$2:$BS$4,15,)))</f>
        <v>20.239999999999998</v>
      </c>
      <c r="N26" s="57">
        <f t="shared" si="0"/>
        <v>0.26000000000000156</v>
      </c>
      <c r="O26" s="43">
        <f t="shared" si="1"/>
        <v>0.81480000000000008</v>
      </c>
      <c r="P26" s="44">
        <f t="shared" si="2"/>
        <v>21.0548</v>
      </c>
      <c r="Q26" s="45">
        <f t="shared" si="3"/>
        <v>20.239999999999998</v>
      </c>
      <c r="R26" s="46">
        <f t="shared" si="8"/>
        <v>1.76217</v>
      </c>
      <c r="S26" s="150">
        <v>3.89</v>
      </c>
      <c r="T26" s="46">
        <f t="shared" si="9"/>
        <v>19.292629999999999</v>
      </c>
      <c r="U26" s="46">
        <f t="shared" si="4"/>
        <v>1.9292629999999998E-2</v>
      </c>
      <c r="V26" s="47">
        <f t="shared" si="10"/>
        <v>18.477829999999997</v>
      </c>
      <c r="W26" s="10"/>
    </row>
    <row r="27" spans="1:23" ht="15" customHeight="1" x14ac:dyDescent="0.2">
      <c r="A27" s="206" t="s">
        <v>298</v>
      </c>
      <c r="B27" s="207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10"/>
    </row>
    <row r="28" spans="1:23" ht="15" customHeight="1" x14ac:dyDescent="0.2">
      <c r="A28" s="58" t="s">
        <v>169</v>
      </c>
      <c r="B28" s="68" t="s">
        <v>20</v>
      </c>
      <c r="C28" s="126" t="s">
        <v>257</v>
      </c>
      <c r="D28" s="59" t="s">
        <v>136</v>
      </c>
      <c r="E28" s="59" t="s">
        <v>137</v>
      </c>
      <c r="F28" s="59">
        <v>250</v>
      </c>
      <c r="G28" s="59">
        <v>18</v>
      </c>
      <c r="H28" s="61">
        <v>15.63</v>
      </c>
      <c r="I28" s="62">
        <v>0.6</v>
      </c>
      <c r="J28" s="59" t="s">
        <v>138</v>
      </c>
      <c r="K28" s="55" t="s">
        <v>139</v>
      </c>
      <c r="L28" s="67">
        <v>21.7</v>
      </c>
      <c r="M28" s="120">
        <f>IF(ISNA(VLOOKUP($R$7,$AB$2:$BS$4,16,)),"", (VLOOKUP($R$7,$AB$2:$BS$4,16,)))</f>
        <v>20.84</v>
      </c>
      <c r="N28" s="57">
        <f t="shared" ref="N28:N34" si="11">L28-M28</f>
        <v>0.85999999999999943</v>
      </c>
      <c r="O28" s="43">
        <f t="shared" ref="O28:O34" si="12">(G28*$O$11/100)</f>
        <v>0.69840000000000002</v>
      </c>
      <c r="P28" s="44">
        <f t="shared" ref="P28:P34" si="13">IF(M28&gt;5,M28+O28,N28+O28)</f>
        <v>21.538399999999999</v>
      </c>
      <c r="Q28" s="45">
        <f t="shared" ref="Q28:Q34" si="14">IF(M28&gt;5,(M28+($Q$11*G28/100)),(N28+($Q$11*G28/100)))</f>
        <v>20.84</v>
      </c>
      <c r="R28" s="46">
        <f>SUM(S28*$S$8)</f>
        <v>0.92864999999999998</v>
      </c>
      <c r="S28" s="150">
        <v>2.0499999999999998</v>
      </c>
      <c r="T28" s="46">
        <f>P28-R28</f>
        <v>20.609749999999998</v>
      </c>
      <c r="U28" s="46">
        <f t="shared" ref="U28:U34" si="15">T28/F28</f>
        <v>8.2438999999999998E-2</v>
      </c>
      <c r="V28" s="47">
        <f>Q28-R28</f>
        <v>19.911349999999999</v>
      </c>
      <c r="W28" s="10"/>
    </row>
    <row r="29" spans="1:23" ht="15" customHeight="1" x14ac:dyDescent="0.2">
      <c r="A29" s="58" t="s">
        <v>170</v>
      </c>
      <c r="B29" s="59" t="s">
        <v>21</v>
      </c>
      <c r="C29" s="126" t="s">
        <v>260</v>
      </c>
      <c r="D29" s="59" t="s">
        <v>171</v>
      </c>
      <c r="E29" s="59" t="s">
        <v>137</v>
      </c>
      <c r="F29" s="59">
        <v>250</v>
      </c>
      <c r="G29" s="59">
        <v>18</v>
      </c>
      <c r="H29" s="61">
        <v>15</v>
      </c>
      <c r="I29" s="62">
        <v>0.49</v>
      </c>
      <c r="J29" s="59" t="s">
        <v>145</v>
      </c>
      <c r="K29" s="55" t="s">
        <v>139</v>
      </c>
      <c r="L29" s="67">
        <v>23.9</v>
      </c>
      <c r="M29" s="120">
        <f>IF(ISNA(VLOOKUP($R$7,$AB$2:$BS$4,17,)),"", (VLOOKUP($R$7,$AB$2:$BS$4,17,)))</f>
        <v>23.64</v>
      </c>
      <c r="N29" s="57">
        <f t="shared" si="11"/>
        <v>0.25999999999999801</v>
      </c>
      <c r="O29" s="43">
        <f t="shared" si="12"/>
        <v>0.69840000000000002</v>
      </c>
      <c r="P29" s="44">
        <f t="shared" si="13"/>
        <v>24.3384</v>
      </c>
      <c r="Q29" s="45">
        <f t="shared" si="14"/>
        <v>23.64</v>
      </c>
      <c r="R29" s="46">
        <f>SUM(S29*$S$8)</f>
        <v>0.78369</v>
      </c>
      <c r="S29" s="151">
        <v>1.73</v>
      </c>
      <c r="T29" s="46">
        <f>P29-R29</f>
        <v>23.55471</v>
      </c>
      <c r="U29" s="46">
        <f t="shared" si="15"/>
        <v>9.4218839999999998E-2</v>
      </c>
      <c r="V29" s="47">
        <f>Q29-R29</f>
        <v>22.856310000000001</v>
      </c>
      <c r="W29" s="10"/>
    </row>
    <row r="30" spans="1:23" ht="15" customHeight="1" x14ac:dyDescent="0.2">
      <c r="A30" s="58" t="s">
        <v>168</v>
      </c>
      <c r="B30" s="68" t="s">
        <v>17</v>
      </c>
      <c r="C30" s="126" t="s">
        <v>258</v>
      </c>
      <c r="D30" s="59" t="s">
        <v>136</v>
      </c>
      <c r="E30" s="59" t="s">
        <v>137</v>
      </c>
      <c r="F30" s="59">
        <v>250</v>
      </c>
      <c r="G30" s="59">
        <v>18</v>
      </c>
      <c r="H30" s="61">
        <v>15.63</v>
      </c>
      <c r="I30" s="62">
        <v>0.6</v>
      </c>
      <c r="J30" s="59" t="s">
        <v>138</v>
      </c>
      <c r="K30" s="55" t="s">
        <v>139</v>
      </c>
      <c r="L30" s="67">
        <v>23.9</v>
      </c>
      <c r="M30" s="120">
        <f>IF(ISNA(VLOOKUP($R$7,$AB$2:$BS$4,18,)),"", (VLOOKUP($R$7,$AB$2:$BS$4,18,)))</f>
        <v>23.04</v>
      </c>
      <c r="N30" s="57">
        <f t="shared" si="11"/>
        <v>0.85999999999999943</v>
      </c>
      <c r="O30" s="43">
        <f t="shared" si="12"/>
        <v>0.69840000000000002</v>
      </c>
      <c r="P30" s="44">
        <f t="shared" si="13"/>
        <v>23.738399999999999</v>
      </c>
      <c r="Q30" s="45">
        <f t="shared" si="14"/>
        <v>23.04</v>
      </c>
      <c r="R30" s="46">
        <f>SUM(S30*$S$8)</f>
        <v>1.80294</v>
      </c>
      <c r="S30" s="150">
        <v>3.98</v>
      </c>
      <c r="T30" s="46">
        <f>P30-R30</f>
        <v>21.935459999999999</v>
      </c>
      <c r="U30" s="46">
        <f t="shared" si="15"/>
        <v>8.7741840000000001E-2</v>
      </c>
      <c r="V30" s="47">
        <f>Q30-R30</f>
        <v>21.23706</v>
      </c>
      <c r="W30" s="10"/>
    </row>
    <row r="31" spans="1:23" ht="15" customHeight="1" x14ac:dyDescent="0.2">
      <c r="A31" s="69" t="s">
        <v>148</v>
      </c>
      <c r="B31" s="70" t="s">
        <v>15</v>
      </c>
      <c r="C31" s="60" t="s">
        <v>149</v>
      </c>
      <c r="D31" s="59" t="s">
        <v>150</v>
      </c>
      <c r="E31" s="59" t="s">
        <v>151</v>
      </c>
      <c r="F31" s="71">
        <v>84</v>
      </c>
      <c r="G31" s="71">
        <v>18</v>
      </c>
      <c r="H31" s="61">
        <v>15.75</v>
      </c>
      <c r="I31" s="62">
        <v>0.74</v>
      </c>
      <c r="J31" s="59" t="s">
        <v>152</v>
      </c>
      <c r="K31" s="72" t="s">
        <v>153</v>
      </c>
      <c r="L31" s="67">
        <v>25.7</v>
      </c>
      <c r="M31" s="120">
        <f>IF(ISNA(VLOOKUP($R$7,$AB$2:$BS$4,19,)),"", (VLOOKUP($R$7,$AB$2:$BS$4,19,)))</f>
        <v>25.44</v>
      </c>
      <c r="N31" s="57">
        <f t="shared" si="11"/>
        <v>0.25999999999999801</v>
      </c>
      <c r="O31" s="43">
        <f t="shared" si="12"/>
        <v>0.69840000000000002</v>
      </c>
      <c r="P31" s="44">
        <f t="shared" si="13"/>
        <v>26.138400000000001</v>
      </c>
      <c r="Q31" s="45">
        <f t="shared" si="14"/>
        <v>25.44</v>
      </c>
      <c r="R31" s="46">
        <f t="shared" si="5"/>
        <v>1.06908</v>
      </c>
      <c r="S31" s="150">
        <v>2.36</v>
      </c>
      <c r="T31" s="46">
        <f t="shared" si="6"/>
        <v>25.069320000000001</v>
      </c>
      <c r="U31" s="46">
        <f t="shared" si="15"/>
        <v>0.29844428571428572</v>
      </c>
      <c r="V31" s="47">
        <f t="shared" si="7"/>
        <v>24.370920000000002</v>
      </c>
      <c r="W31" s="10"/>
    </row>
    <row r="32" spans="1:23" ht="15" customHeight="1" x14ac:dyDescent="0.2">
      <c r="A32" s="58" t="s">
        <v>154</v>
      </c>
      <c r="B32" s="73" t="s">
        <v>16</v>
      </c>
      <c r="C32" s="60" t="s">
        <v>155</v>
      </c>
      <c r="D32" s="59" t="s">
        <v>156</v>
      </c>
      <c r="E32" s="59" t="s">
        <v>151</v>
      </c>
      <c r="F32" s="71">
        <v>168</v>
      </c>
      <c r="G32" s="71">
        <v>35</v>
      </c>
      <c r="H32" s="61">
        <v>31.52</v>
      </c>
      <c r="I32" s="62">
        <v>1.57</v>
      </c>
      <c r="J32" s="87" t="s">
        <v>157</v>
      </c>
      <c r="K32" s="72" t="s">
        <v>158</v>
      </c>
      <c r="L32" s="67">
        <v>49.7</v>
      </c>
      <c r="M32" s="120">
        <f>IF(ISNA(VLOOKUP($R$7,$AB$2:$BS$4,20,)),"", (VLOOKUP($R$7,$AB$2:$BS$4,20,)))</f>
        <v>49.19</v>
      </c>
      <c r="N32" s="57">
        <f t="shared" si="11"/>
        <v>0.51000000000000512</v>
      </c>
      <c r="O32" s="43">
        <f t="shared" si="12"/>
        <v>1.3579999999999999</v>
      </c>
      <c r="P32" s="44">
        <f t="shared" si="13"/>
        <v>50.547999999999995</v>
      </c>
      <c r="Q32" s="45">
        <f t="shared" si="14"/>
        <v>49.19</v>
      </c>
      <c r="R32" s="46">
        <f t="shared" si="5"/>
        <v>2.1381600000000001</v>
      </c>
      <c r="S32" s="150">
        <v>4.72</v>
      </c>
      <c r="T32" s="46">
        <f t="shared" si="6"/>
        <v>48.409839999999996</v>
      </c>
      <c r="U32" s="46">
        <f t="shared" si="15"/>
        <v>0.28815380952380948</v>
      </c>
      <c r="V32" s="47">
        <f t="shared" si="7"/>
        <v>47.051839999999999</v>
      </c>
      <c r="W32" s="10"/>
    </row>
    <row r="33" spans="1:23" ht="15" customHeight="1" x14ac:dyDescent="0.2">
      <c r="A33" s="58" t="s">
        <v>159</v>
      </c>
      <c r="B33" s="70" t="s">
        <v>18</v>
      </c>
      <c r="C33" s="75" t="s">
        <v>160</v>
      </c>
      <c r="D33" s="51" t="s">
        <v>161</v>
      </c>
      <c r="E33" s="59" t="s">
        <v>162</v>
      </c>
      <c r="F33" s="71">
        <v>84</v>
      </c>
      <c r="G33" s="71">
        <v>15</v>
      </c>
      <c r="H33" s="61">
        <v>13.13</v>
      </c>
      <c r="I33" s="62">
        <v>0.74</v>
      </c>
      <c r="J33" s="59" t="s">
        <v>163</v>
      </c>
      <c r="K33" s="72" t="s">
        <v>153</v>
      </c>
      <c r="L33" s="67">
        <v>19.75</v>
      </c>
      <c r="M33" s="120">
        <f>IF(ISNA(VLOOKUP($R$7,$AB$2:$BS$4,21,)),"", (VLOOKUP($R$7,$AB$2:$BS$4,21,)))</f>
        <v>19.489999999999998</v>
      </c>
      <c r="N33" s="57">
        <f t="shared" si="11"/>
        <v>0.26000000000000156</v>
      </c>
      <c r="O33" s="43">
        <f t="shared" si="12"/>
        <v>0.58199999999999996</v>
      </c>
      <c r="P33" s="44">
        <f t="shared" si="13"/>
        <v>20.071999999999999</v>
      </c>
      <c r="Q33" s="45">
        <f t="shared" si="14"/>
        <v>19.489999999999998</v>
      </c>
      <c r="R33" s="46">
        <f t="shared" si="5"/>
        <v>1.6625099999999999</v>
      </c>
      <c r="S33" s="150">
        <v>3.67</v>
      </c>
      <c r="T33" s="46">
        <f t="shared" si="6"/>
        <v>18.409489999999998</v>
      </c>
      <c r="U33" s="46">
        <f t="shared" si="15"/>
        <v>0.21916059523809522</v>
      </c>
      <c r="V33" s="47">
        <f t="shared" si="7"/>
        <v>17.827489999999997</v>
      </c>
      <c r="W33" s="10"/>
    </row>
    <row r="34" spans="1:23" ht="15" customHeight="1" x14ac:dyDescent="0.2">
      <c r="A34" s="58" t="s">
        <v>164</v>
      </c>
      <c r="B34" s="73" t="s">
        <v>19</v>
      </c>
      <c r="C34" s="75" t="s">
        <v>165</v>
      </c>
      <c r="D34" s="51" t="s">
        <v>166</v>
      </c>
      <c r="E34" s="59" t="s">
        <v>162</v>
      </c>
      <c r="F34" s="71">
        <v>168</v>
      </c>
      <c r="G34" s="71">
        <v>29</v>
      </c>
      <c r="H34" s="61">
        <v>26.25</v>
      </c>
      <c r="I34" s="62">
        <v>1.57</v>
      </c>
      <c r="J34" s="87" t="s">
        <v>157</v>
      </c>
      <c r="K34" s="72" t="s">
        <v>167</v>
      </c>
      <c r="L34" s="67">
        <v>38</v>
      </c>
      <c r="M34" s="120">
        <f>IF(ISNA(VLOOKUP($R$7,$AB$2:$BS$4,22,)),"", (VLOOKUP($R$7,$AB$2:$BS$4,22,)))</f>
        <v>37.49</v>
      </c>
      <c r="N34" s="57">
        <f t="shared" si="11"/>
        <v>0.50999999999999801</v>
      </c>
      <c r="O34" s="43">
        <f t="shared" si="12"/>
        <v>1.1252</v>
      </c>
      <c r="P34" s="44">
        <f t="shared" si="13"/>
        <v>38.615200000000002</v>
      </c>
      <c r="Q34" s="45">
        <f t="shared" si="14"/>
        <v>37.49</v>
      </c>
      <c r="R34" s="46">
        <f t="shared" si="5"/>
        <v>3.3204899999999999</v>
      </c>
      <c r="S34" s="150">
        <v>7.33</v>
      </c>
      <c r="T34" s="46">
        <f t="shared" si="6"/>
        <v>35.294710000000002</v>
      </c>
      <c r="U34" s="46">
        <f t="shared" si="15"/>
        <v>0.21008755952380953</v>
      </c>
      <c r="V34" s="47">
        <f t="shared" si="7"/>
        <v>34.169510000000002</v>
      </c>
      <c r="W34" s="10"/>
    </row>
    <row r="35" spans="1:23" ht="15" customHeight="1" x14ac:dyDescent="0.2">
      <c r="A35" s="214" t="s">
        <v>300</v>
      </c>
      <c r="B35" s="215"/>
      <c r="C35" s="216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10"/>
    </row>
    <row r="36" spans="1:23" ht="15" customHeight="1" x14ac:dyDescent="0.2">
      <c r="A36" s="58" t="s">
        <v>124</v>
      </c>
      <c r="B36" s="59" t="s">
        <v>9</v>
      </c>
      <c r="C36" s="126" t="s">
        <v>252</v>
      </c>
      <c r="D36" s="51" t="s">
        <v>125</v>
      </c>
      <c r="E36" s="51" t="s">
        <v>121</v>
      </c>
      <c r="F36" s="52">
        <v>2</v>
      </c>
      <c r="G36" s="59">
        <v>31</v>
      </c>
      <c r="H36" s="61">
        <v>29</v>
      </c>
      <c r="I36" s="62">
        <v>0.56000000000000005</v>
      </c>
      <c r="J36" s="59" t="s">
        <v>114</v>
      </c>
      <c r="K36" s="55" t="s">
        <v>118</v>
      </c>
      <c r="L36" s="56">
        <v>14.95</v>
      </c>
      <c r="M36" s="120">
        <f>IF(ISNA(VLOOKUP($R$7,$AB$2:$BS$4,23,)),"", (VLOOKUP($R$7,$AB$2:$BS$4,23,)))</f>
        <v>14.19</v>
      </c>
      <c r="N36" s="57">
        <f>L36-M36</f>
        <v>0.75999999999999979</v>
      </c>
      <c r="O36" s="43">
        <f t="shared" ref="O36:O41" si="16">(G36*$O$11/100)</f>
        <v>1.2028000000000001</v>
      </c>
      <c r="P36" s="44">
        <f t="shared" ref="P36:P41" si="17">IF(M36&gt;5,M36+O36,N36+O36)</f>
        <v>15.392799999999999</v>
      </c>
      <c r="Q36" s="45">
        <f t="shared" ref="Q36:Q41" si="18">IF(M36&gt;5,(M36+($Q$11*G36/100)),(N36+($Q$11*G36/100)))</f>
        <v>14.19</v>
      </c>
      <c r="R36" s="46">
        <f>SUM(S36*$S$8)</f>
        <v>2.9897999999999998</v>
      </c>
      <c r="S36" s="150">
        <v>6.6</v>
      </c>
      <c r="T36" s="46">
        <f>P36-R36</f>
        <v>12.402999999999999</v>
      </c>
      <c r="U36" s="46">
        <f>T36/F36</f>
        <v>6.2014999999999993</v>
      </c>
      <c r="V36" s="47">
        <f>Q36-R36</f>
        <v>11.200199999999999</v>
      </c>
      <c r="W36" s="10"/>
    </row>
    <row r="37" spans="1:23" ht="15" customHeight="1" x14ac:dyDescent="0.2">
      <c r="A37" s="58" t="s">
        <v>126</v>
      </c>
      <c r="B37" s="59" t="s">
        <v>10</v>
      </c>
      <c r="C37" s="126" t="s">
        <v>251</v>
      </c>
      <c r="D37" s="51" t="s">
        <v>125</v>
      </c>
      <c r="E37" s="51" t="s">
        <v>121</v>
      </c>
      <c r="F37" s="59">
        <v>2</v>
      </c>
      <c r="G37" s="64">
        <v>31</v>
      </c>
      <c r="H37" s="61">
        <v>29</v>
      </c>
      <c r="I37" s="62">
        <v>0.56000000000000005</v>
      </c>
      <c r="J37" s="59" t="s">
        <v>114</v>
      </c>
      <c r="K37" s="55" t="s">
        <v>118</v>
      </c>
      <c r="L37" s="56">
        <v>17.3</v>
      </c>
      <c r="M37" s="120">
        <f>IF(ISNA(VLOOKUP($R$7,$AB$2:$BS$4,24,)),"", (VLOOKUP($R$7,$AB$2:$BS$4,24,)))</f>
        <v>15.64</v>
      </c>
      <c r="N37" s="57">
        <f>L37-M37</f>
        <v>1.6600000000000001</v>
      </c>
      <c r="O37" s="43">
        <f t="shared" si="16"/>
        <v>1.2028000000000001</v>
      </c>
      <c r="P37" s="44">
        <f t="shared" si="17"/>
        <v>16.8428</v>
      </c>
      <c r="Q37" s="45">
        <f t="shared" si="18"/>
        <v>15.64</v>
      </c>
      <c r="R37" s="46">
        <f>SUM(S37*$S$8)</f>
        <v>3.1392899999999999</v>
      </c>
      <c r="S37" s="150">
        <v>6.93</v>
      </c>
      <c r="T37" s="46">
        <f>P37-R37</f>
        <v>13.703510000000001</v>
      </c>
      <c r="U37" s="46">
        <f>T37/F37</f>
        <v>6.8517550000000007</v>
      </c>
      <c r="V37" s="47">
        <f>Q37-R37</f>
        <v>12.500710000000002</v>
      </c>
      <c r="W37" s="10"/>
    </row>
    <row r="38" spans="1:23" ht="15" customHeight="1" x14ac:dyDescent="0.2">
      <c r="A38" s="58" t="s">
        <v>172</v>
      </c>
      <c r="B38" s="59" t="s">
        <v>173</v>
      </c>
      <c r="C38" s="126" t="s">
        <v>259</v>
      </c>
      <c r="D38" s="51" t="s">
        <v>125</v>
      </c>
      <c r="E38" s="51" t="s">
        <v>121</v>
      </c>
      <c r="F38" s="52">
        <v>2</v>
      </c>
      <c r="G38" s="59">
        <v>31</v>
      </c>
      <c r="H38" s="61">
        <v>29</v>
      </c>
      <c r="I38" s="62">
        <v>0.56000000000000005</v>
      </c>
      <c r="J38" s="59" t="s">
        <v>114</v>
      </c>
      <c r="K38" s="51" t="s">
        <v>118</v>
      </c>
      <c r="L38" s="67">
        <v>22.5</v>
      </c>
      <c r="M38" s="120">
        <f>IF(ISNA(VLOOKUP($R$7,$AB$2:$BS$4,25,)),"", (VLOOKUP($R$7,$AB$2:$BS$4,25,)))</f>
        <v>21.99</v>
      </c>
      <c r="N38" s="57">
        <f>L38-M38</f>
        <v>0.51000000000000156</v>
      </c>
      <c r="O38" s="43">
        <f t="shared" si="16"/>
        <v>1.2028000000000001</v>
      </c>
      <c r="P38" s="44">
        <f t="shared" si="17"/>
        <v>23.192799999999998</v>
      </c>
      <c r="Q38" s="45">
        <f t="shared" si="18"/>
        <v>21.99</v>
      </c>
      <c r="R38" s="46">
        <f>SUM(S38*$S$8)</f>
        <v>1.73499</v>
      </c>
      <c r="S38" s="151">
        <v>3.83</v>
      </c>
      <c r="T38" s="46">
        <f>P38-R38</f>
        <v>21.457809999999998</v>
      </c>
      <c r="U38" s="46">
        <f>T38/F38</f>
        <v>10.728904999999999</v>
      </c>
      <c r="V38" s="47">
        <f>Q38-R38</f>
        <v>20.255009999999999</v>
      </c>
      <c r="W38" s="10"/>
    </row>
    <row r="39" spans="1:23" ht="15" customHeight="1" x14ac:dyDescent="0.2">
      <c r="A39" s="79" t="s">
        <v>174</v>
      </c>
      <c r="B39" s="127" t="s">
        <v>175</v>
      </c>
      <c r="C39" s="128" t="s">
        <v>275</v>
      </c>
      <c r="D39" s="129" t="s">
        <v>125</v>
      </c>
      <c r="E39" s="129" t="s">
        <v>121</v>
      </c>
      <c r="F39" s="127">
        <v>2</v>
      </c>
      <c r="G39" s="59">
        <v>31</v>
      </c>
      <c r="H39" s="130">
        <v>29</v>
      </c>
      <c r="I39" s="131">
        <v>0.56000000000000005</v>
      </c>
      <c r="J39" s="127" t="s">
        <v>114</v>
      </c>
      <c r="K39" s="129" t="s">
        <v>118</v>
      </c>
      <c r="L39" s="142">
        <v>14.45</v>
      </c>
      <c r="M39" s="120">
        <f>IF(ISNA(VLOOKUP($R$7,$AB$2:$BS$4,26,)),"", (VLOOKUP($R$7,$AB$2:$BS$4,26,)))</f>
        <v>14.19</v>
      </c>
      <c r="N39" s="132">
        <f>L39-M39</f>
        <v>0.25999999999999979</v>
      </c>
      <c r="O39" s="133">
        <f t="shared" si="16"/>
        <v>1.2028000000000001</v>
      </c>
      <c r="P39" s="134">
        <f t="shared" si="17"/>
        <v>15.392799999999999</v>
      </c>
      <c r="Q39" s="135">
        <f t="shared" si="18"/>
        <v>14.19</v>
      </c>
      <c r="R39" s="136" t="s">
        <v>176</v>
      </c>
      <c r="S39" s="152" t="s">
        <v>176</v>
      </c>
      <c r="T39" s="136" t="s">
        <v>176</v>
      </c>
      <c r="U39" s="136" t="s">
        <v>176</v>
      </c>
      <c r="V39" s="136" t="s">
        <v>176</v>
      </c>
      <c r="W39" s="10"/>
    </row>
    <row r="40" spans="1:23" ht="15" customHeight="1" x14ac:dyDescent="0.2">
      <c r="A40" s="137" t="s">
        <v>283</v>
      </c>
      <c r="B40" s="138" t="s">
        <v>276</v>
      </c>
      <c r="C40" s="137" t="s">
        <v>274</v>
      </c>
      <c r="D40" s="129" t="s">
        <v>125</v>
      </c>
      <c r="E40" s="129" t="s">
        <v>121</v>
      </c>
      <c r="F40" s="127">
        <v>2</v>
      </c>
      <c r="G40" s="59">
        <v>31</v>
      </c>
      <c r="H40" s="130">
        <v>29</v>
      </c>
      <c r="I40" s="131">
        <v>0.56000000000000005</v>
      </c>
      <c r="J40" s="127" t="s">
        <v>114</v>
      </c>
      <c r="K40" s="129" t="s">
        <v>118</v>
      </c>
      <c r="L40" s="146">
        <v>21.95</v>
      </c>
      <c r="M40" s="120">
        <f>IF(ISNA(VLOOKUP($R$7,$AB$2:$BS$4,27,)),"", (VLOOKUP($R$7,$AB$2:$BS$4,27,)))</f>
        <v>21.69</v>
      </c>
      <c r="N40" s="132">
        <f>L40-M40</f>
        <v>0.25999999999999801</v>
      </c>
      <c r="O40" s="133">
        <f t="shared" si="16"/>
        <v>1.2028000000000001</v>
      </c>
      <c r="P40" s="134">
        <f t="shared" si="17"/>
        <v>22.892800000000001</v>
      </c>
      <c r="Q40" s="135">
        <f t="shared" si="18"/>
        <v>21.69</v>
      </c>
      <c r="R40" s="136" t="s">
        <v>176</v>
      </c>
      <c r="S40" s="152" t="s">
        <v>176</v>
      </c>
      <c r="T40" s="136" t="s">
        <v>176</v>
      </c>
      <c r="U40" s="136" t="s">
        <v>176</v>
      </c>
      <c r="V40" s="136" t="s">
        <v>176</v>
      </c>
    </row>
    <row r="41" spans="1:23" ht="15" customHeight="1" x14ac:dyDescent="0.2">
      <c r="A41" s="137" t="s">
        <v>284</v>
      </c>
      <c r="B41" s="138" t="s">
        <v>285</v>
      </c>
      <c r="C41" s="137" t="s">
        <v>256</v>
      </c>
      <c r="D41" s="129" t="s">
        <v>125</v>
      </c>
      <c r="E41" s="129" t="s">
        <v>121</v>
      </c>
      <c r="F41" s="127">
        <v>2</v>
      </c>
      <c r="G41" s="59">
        <v>31</v>
      </c>
      <c r="H41" s="130">
        <v>29</v>
      </c>
      <c r="I41" s="131">
        <v>0.56000000000000005</v>
      </c>
      <c r="J41" s="127" t="s">
        <v>114</v>
      </c>
      <c r="K41" s="129" t="s">
        <v>118</v>
      </c>
      <c r="L41" s="138" t="s">
        <v>176</v>
      </c>
      <c r="M41" s="120">
        <f>IF(ISNA(VLOOKUP($R$7,$AB$2:$BS$4,28,)),"", (VLOOKUP($R$7,$AB$2:$BS$4,28,)))</f>
        <v>0</v>
      </c>
      <c r="N41" s="138" t="s">
        <v>176</v>
      </c>
      <c r="O41" s="133">
        <f t="shared" si="16"/>
        <v>1.2028000000000001</v>
      </c>
      <c r="P41" s="134" t="e">
        <f t="shared" si="17"/>
        <v>#VALUE!</v>
      </c>
      <c r="Q41" s="135" t="e">
        <f t="shared" si="18"/>
        <v>#VALUE!</v>
      </c>
      <c r="R41" s="136" t="s">
        <v>176</v>
      </c>
      <c r="S41" s="152" t="s">
        <v>176</v>
      </c>
      <c r="T41" s="136" t="s">
        <v>176</v>
      </c>
      <c r="U41" s="136" t="s">
        <v>176</v>
      </c>
      <c r="V41" s="136" t="s">
        <v>176</v>
      </c>
    </row>
    <row r="42" spans="1:23" ht="15" customHeight="1" x14ac:dyDescent="0.2">
      <c r="A42" s="214" t="s">
        <v>301</v>
      </c>
      <c r="B42" s="215"/>
      <c r="C42" s="216"/>
      <c r="D42" s="21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10"/>
    </row>
    <row r="43" spans="1:23" ht="15" customHeight="1" x14ac:dyDescent="0.2">
      <c r="A43" s="58" t="s">
        <v>177</v>
      </c>
      <c r="B43" s="73" t="s">
        <v>22</v>
      </c>
      <c r="C43" s="139" t="s">
        <v>264</v>
      </c>
      <c r="D43" s="51" t="s">
        <v>90</v>
      </c>
      <c r="E43" s="51" t="s">
        <v>178</v>
      </c>
      <c r="F43" s="52">
        <v>6</v>
      </c>
      <c r="G43" s="52">
        <v>45</v>
      </c>
      <c r="H43" s="61">
        <v>38.6</v>
      </c>
      <c r="I43" s="76">
        <v>1</v>
      </c>
      <c r="J43" s="59" t="s">
        <v>92</v>
      </c>
      <c r="K43" s="55" t="s">
        <v>93</v>
      </c>
      <c r="L43" s="77">
        <v>24.05</v>
      </c>
      <c r="M43" s="120">
        <v>21.97</v>
      </c>
      <c r="N43" s="147">
        <f t="shared" ref="N43:N61" si="19">L43-M43</f>
        <v>2.0800000000000018</v>
      </c>
      <c r="O43" s="43">
        <f t="shared" ref="O43:O61" si="20">(G43*$O$11/100)</f>
        <v>1.746</v>
      </c>
      <c r="P43" s="43">
        <f t="shared" ref="P43:P61" si="21">IF(M43&gt;5,M43+O43,N43+O43)</f>
        <v>23.715999999999998</v>
      </c>
      <c r="Q43" s="148">
        <f t="shared" ref="Q43:Q61" si="22">IF(M43&gt;5,(M43+($Q$11*G43/100)),(N43+($Q$11*G43/100)))</f>
        <v>21.97</v>
      </c>
      <c r="R43" s="46">
        <f t="shared" si="5"/>
        <v>2.6727000000000003</v>
      </c>
      <c r="S43" s="153">
        <v>5.9</v>
      </c>
      <c r="T43" s="78">
        <f t="shared" si="6"/>
        <v>21.043299999999999</v>
      </c>
      <c r="U43" s="78">
        <f t="shared" ref="U43:U58" si="23">T43/F43</f>
        <v>3.5072166666666664</v>
      </c>
      <c r="V43" s="47">
        <f t="shared" si="7"/>
        <v>19.2973</v>
      </c>
      <c r="W43" s="10" t="s">
        <v>305</v>
      </c>
    </row>
    <row r="44" spans="1:23" ht="15" customHeight="1" x14ac:dyDescent="0.2">
      <c r="A44" s="58" t="s">
        <v>179</v>
      </c>
      <c r="B44" s="73" t="s">
        <v>23</v>
      </c>
      <c r="C44" s="50" t="s">
        <v>180</v>
      </c>
      <c r="D44" s="51" t="s">
        <v>90</v>
      </c>
      <c r="E44" s="51" t="s">
        <v>181</v>
      </c>
      <c r="F44" s="52">
        <v>6</v>
      </c>
      <c r="G44" s="52">
        <v>45</v>
      </c>
      <c r="H44" s="61">
        <v>39.75</v>
      </c>
      <c r="I44" s="76">
        <v>1</v>
      </c>
      <c r="J44" s="59" t="s">
        <v>92</v>
      </c>
      <c r="K44" s="55" t="s">
        <v>93</v>
      </c>
      <c r="L44" s="77">
        <v>22.05</v>
      </c>
      <c r="M44" s="120">
        <f>IF(ISNA(VLOOKUP($R$7,$AB$2:$BS$4,30,)),"", (VLOOKUP($R$7,$AB$2:$BS$4,30,)))</f>
        <v>21.29</v>
      </c>
      <c r="N44" s="147">
        <f t="shared" si="19"/>
        <v>0.76000000000000156</v>
      </c>
      <c r="O44" s="43">
        <f t="shared" si="20"/>
        <v>1.746</v>
      </c>
      <c r="P44" s="43">
        <f t="shared" si="21"/>
        <v>23.035999999999998</v>
      </c>
      <c r="Q44" s="148">
        <f t="shared" si="22"/>
        <v>21.29</v>
      </c>
      <c r="R44" s="46">
        <f t="shared" si="5"/>
        <v>2.3646599999999998</v>
      </c>
      <c r="S44" s="153">
        <v>5.22</v>
      </c>
      <c r="T44" s="78">
        <f t="shared" si="6"/>
        <v>20.671339999999997</v>
      </c>
      <c r="U44" s="78">
        <f t="shared" si="23"/>
        <v>3.4452233333333329</v>
      </c>
      <c r="V44" s="47">
        <f t="shared" si="7"/>
        <v>18.925339999999998</v>
      </c>
      <c r="W44" s="10"/>
    </row>
    <row r="45" spans="1:23" ht="15" customHeight="1" x14ac:dyDescent="0.2">
      <c r="A45" s="58" t="s">
        <v>182</v>
      </c>
      <c r="B45" s="73" t="s">
        <v>24</v>
      </c>
      <c r="C45" s="140" t="s">
        <v>265</v>
      </c>
      <c r="D45" s="51" t="s">
        <v>90</v>
      </c>
      <c r="E45" s="51" t="s">
        <v>181</v>
      </c>
      <c r="F45" s="52">
        <v>6</v>
      </c>
      <c r="G45" s="52">
        <v>45</v>
      </c>
      <c r="H45" s="61">
        <v>39.75</v>
      </c>
      <c r="I45" s="62">
        <v>1</v>
      </c>
      <c r="J45" s="59" t="s">
        <v>92</v>
      </c>
      <c r="K45" s="55" t="s">
        <v>93</v>
      </c>
      <c r="L45" s="77">
        <v>23.5</v>
      </c>
      <c r="M45" s="120">
        <v>21.77</v>
      </c>
      <c r="N45" s="147">
        <f t="shared" si="19"/>
        <v>1.7300000000000004</v>
      </c>
      <c r="O45" s="43">
        <f t="shared" si="20"/>
        <v>1.746</v>
      </c>
      <c r="P45" s="43">
        <f t="shared" si="21"/>
        <v>23.515999999999998</v>
      </c>
      <c r="Q45" s="148">
        <f t="shared" si="22"/>
        <v>21.77</v>
      </c>
      <c r="R45" s="46">
        <f t="shared" si="5"/>
        <v>4.6749600000000004</v>
      </c>
      <c r="S45" s="153">
        <v>10.32</v>
      </c>
      <c r="T45" s="78">
        <f t="shared" si="6"/>
        <v>18.84104</v>
      </c>
      <c r="U45" s="78">
        <f t="shared" si="23"/>
        <v>3.1401733333333333</v>
      </c>
      <c r="V45" s="47">
        <f t="shared" si="7"/>
        <v>17.095039999999997</v>
      </c>
      <c r="W45" s="10" t="s">
        <v>305</v>
      </c>
    </row>
    <row r="46" spans="1:23" ht="15" customHeight="1" x14ac:dyDescent="0.2">
      <c r="A46" s="79" t="s">
        <v>183</v>
      </c>
      <c r="B46" s="73" t="s">
        <v>25</v>
      </c>
      <c r="C46" s="75" t="s">
        <v>184</v>
      </c>
      <c r="D46" s="51" t="s">
        <v>90</v>
      </c>
      <c r="E46" s="51" t="s">
        <v>181</v>
      </c>
      <c r="F46" s="52">
        <v>6</v>
      </c>
      <c r="G46" s="52">
        <v>45</v>
      </c>
      <c r="H46" s="61">
        <v>39.75</v>
      </c>
      <c r="I46" s="62">
        <v>1</v>
      </c>
      <c r="J46" s="59" t="s">
        <v>92</v>
      </c>
      <c r="K46" s="55" t="s">
        <v>93</v>
      </c>
      <c r="L46" s="77">
        <v>21.2</v>
      </c>
      <c r="M46" s="120">
        <f>IF(ISNA(VLOOKUP($R$7,$AB$2:$BS$4,32,)),"", (VLOOKUP($R$7,$AB$2:$BS$4,32,)))</f>
        <v>20.84</v>
      </c>
      <c r="N46" s="147">
        <f t="shared" si="19"/>
        <v>0.35999999999999943</v>
      </c>
      <c r="O46" s="43">
        <f t="shared" si="20"/>
        <v>1.746</v>
      </c>
      <c r="P46" s="43">
        <f t="shared" si="21"/>
        <v>22.585999999999999</v>
      </c>
      <c r="Q46" s="148">
        <f t="shared" si="22"/>
        <v>20.84</v>
      </c>
      <c r="R46" s="46">
        <f t="shared" si="5"/>
        <v>4.8335100000000004</v>
      </c>
      <c r="S46" s="153">
        <v>10.67</v>
      </c>
      <c r="T46" s="78">
        <f t="shared" si="6"/>
        <v>17.752489999999998</v>
      </c>
      <c r="U46" s="78">
        <f t="shared" si="23"/>
        <v>2.9587483333333329</v>
      </c>
      <c r="V46" s="47">
        <f t="shared" si="7"/>
        <v>16.006489999999999</v>
      </c>
      <c r="W46" s="10"/>
    </row>
    <row r="47" spans="1:23" ht="15" customHeight="1" x14ac:dyDescent="0.2">
      <c r="A47" s="80" t="s">
        <v>185</v>
      </c>
      <c r="B47" s="81" t="s">
        <v>26</v>
      </c>
      <c r="C47" s="82" t="s">
        <v>266</v>
      </c>
      <c r="D47" s="51" t="s">
        <v>90</v>
      </c>
      <c r="E47" s="49" t="s">
        <v>181</v>
      </c>
      <c r="F47" s="52">
        <v>6</v>
      </c>
      <c r="G47" s="52">
        <v>45</v>
      </c>
      <c r="H47" s="53">
        <v>39.380000000000003</v>
      </c>
      <c r="I47" s="62">
        <v>1</v>
      </c>
      <c r="J47" s="59" t="s">
        <v>92</v>
      </c>
      <c r="K47" s="55" t="s">
        <v>93</v>
      </c>
      <c r="L47" s="77">
        <v>26.6</v>
      </c>
      <c r="M47" s="120">
        <f>IF(ISNA(VLOOKUP($R$7,$AB$2:$BS$4,33,)),"", (VLOOKUP($R$7,$AB$2:$BS$4,33,)))</f>
        <v>24.34</v>
      </c>
      <c r="N47" s="147">
        <f t="shared" si="19"/>
        <v>2.2600000000000016</v>
      </c>
      <c r="O47" s="43">
        <f t="shared" si="20"/>
        <v>1.746</v>
      </c>
      <c r="P47" s="43">
        <f t="shared" si="21"/>
        <v>26.085999999999999</v>
      </c>
      <c r="Q47" s="148">
        <f t="shared" si="22"/>
        <v>24.34</v>
      </c>
      <c r="R47" s="46">
        <f t="shared" si="5"/>
        <v>3.3204899999999999</v>
      </c>
      <c r="S47" s="153">
        <v>7.33</v>
      </c>
      <c r="T47" s="78">
        <f t="shared" si="6"/>
        <v>22.765509999999999</v>
      </c>
      <c r="U47" s="78">
        <f t="shared" si="23"/>
        <v>3.7942516666666664</v>
      </c>
      <c r="V47" s="47">
        <f t="shared" si="7"/>
        <v>21.01951</v>
      </c>
      <c r="W47" s="10"/>
    </row>
    <row r="48" spans="1:23" ht="15" customHeight="1" x14ac:dyDescent="0.2">
      <c r="A48" s="58" t="s">
        <v>186</v>
      </c>
      <c r="B48" s="73" t="s">
        <v>27</v>
      </c>
      <c r="C48" s="75" t="s">
        <v>187</v>
      </c>
      <c r="D48" s="51" t="s">
        <v>90</v>
      </c>
      <c r="E48" s="51" t="s">
        <v>188</v>
      </c>
      <c r="F48" s="52">
        <v>6</v>
      </c>
      <c r="G48" s="52">
        <v>45</v>
      </c>
      <c r="H48" s="61">
        <v>39.380000000000003</v>
      </c>
      <c r="I48" s="76">
        <v>1</v>
      </c>
      <c r="J48" s="59" t="s">
        <v>92</v>
      </c>
      <c r="K48" s="55" t="s">
        <v>93</v>
      </c>
      <c r="L48" s="77">
        <v>24.3</v>
      </c>
      <c r="M48" s="120">
        <v>21.37</v>
      </c>
      <c r="N48" s="147">
        <f t="shared" si="19"/>
        <v>2.9299999999999997</v>
      </c>
      <c r="O48" s="43">
        <f t="shared" si="20"/>
        <v>1.746</v>
      </c>
      <c r="P48" s="43">
        <f t="shared" si="21"/>
        <v>23.116</v>
      </c>
      <c r="Q48" s="148">
        <f t="shared" si="22"/>
        <v>21.37</v>
      </c>
      <c r="R48" s="46">
        <f t="shared" si="5"/>
        <v>3.4065599999999998</v>
      </c>
      <c r="S48" s="153">
        <v>7.52</v>
      </c>
      <c r="T48" s="78">
        <f t="shared" si="6"/>
        <v>19.709440000000001</v>
      </c>
      <c r="U48" s="78">
        <f t="shared" si="23"/>
        <v>3.2849066666666666</v>
      </c>
      <c r="V48" s="47">
        <f t="shared" si="7"/>
        <v>17.963440000000002</v>
      </c>
      <c r="W48" s="10" t="s">
        <v>304</v>
      </c>
    </row>
    <row r="49" spans="1:23" ht="15" customHeight="1" x14ac:dyDescent="0.2">
      <c r="A49" s="80" t="s">
        <v>189</v>
      </c>
      <c r="B49" s="81" t="s">
        <v>28</v>
      </c>
      <c r="C49" s="82" t="s">
        <v>267</v>
      </c>
      <c r="D49" s="51" t="s">
        <v>90</v>
      </c>
      <c r="E49" s="49" t="s">
        <v>181</v>
      </c>
      <c r="F49" s="52">
        <v>6</v>
      </c>
      <c r="G49" s="83">
        <v>45</v>
      </c>
      <c r="H49" s="53">
        <v>39.75</v>
      </c>
      <c r="I49" s="76">
        <v>1</v>
      </c>
      <c r="J49" s="59" t="s">
        <v>92</v>
      </c>
      <c r="K49" s="55" t="s">
        <v>93</v>
      </c>
      <c r="L49" s="77">
        <v>24.85</v>
      </c>
      <c r="M49" s="120">
        <f>IF(ISNA(VLOOKUP($R$7,$AB$2:$BS$4,35,)),"", (VLOOKUP($R$7,$AB$2:$BS$4,35,)))</f>
        <v>23.89</v>
      </c>
      <c r="N49" s="147">
        <f t="shared" si="19"/>
        <v>0.96000000000000085</v>
      </c>
      <c r="O49" s="43">
        <f t="shared" si="20"/>
        <v>1.746</v>
      </c>
      <c r="P49" s="43">
        <f t="shared" si="21"/>
        <v>25.635999999999999</v>
      </c>
      <c r="Q49" s="148">
        <f t="shared" si="22"/>
        <v>23.89</v>
      </c>
      <c r="R49" s="46">
        <f t="shared" si="5"/>
        <v>5.5537799999999997</v>
      </c>
      <c r="S49" s="153">
        <v>12.26</v>
      </c>
      <c r="T49" s="78">
        <f t="shared" si="6"/>
        <v>20.08222</v>
      </c>
      <c r="U49" s="78">
        <f t="shared" si="23"/>
        <v>3.3470366666666664</v>
      </c>
      <c r="V49" s="47">
        <f t="shared" si="7"/>
        <v>18.336220000000001</v>
      </c>
      <c r="W49" s="10"/>
    </row>
    <row r="50" spans="1:23" ht="15" customHeight="1" x14ac:dyDescent="0.2">
      <c r="A50" s="32" t="s">
        <v>190</v>
      </c>
      <c r="B50" s="84" t="s">
        <v>29</v>
      </c>
      <c r="C50" s="85" t="s">
        <v>191</v>
      </c>
      <c r="D50" s="35" t="s">
        <v>90</v>
      </c>
      <c r="E50" s="35" t="s">
        <v>181</v>
      </c>
      <c r="F50" s="36">
        <v>6</v>
      </c>
      <c r="G50" s="33">
        <v>46</v>
      </c>
      <c r="H50" s="37">
        <v>39.75</v>
      </c>
      <c r="I50" s="38">
        <v>1</v>
      </c>
      <c r="J50" s="33" t="s">
        <v>92</v>
      </c>
      <c r="K50" s="39" t="s">
        <v>93</v>
      </c>
      <c r="L50" s="86">
        <v>22.55</v>
      </c>
      <c r="M50" s="120">
        <v>20.399999999999999</v>
      </c>
      <c r="N50" s="149">
        <f t="shared" si="19"/>
        <v>2.1500000000000021</v>
      </c>
      <c r="O50" s="43">
        <f t="shared" si="20"/>
        <v>1.7847999999999999</v>
      </c>
      <c r="P50" s="43">
        <f t="shared" si="21"/>
        <v>22.184799999999999</v>
      </c>
      <c r="Q50" s="148">
        <f t="shared" si="22"/>
        <v>20.399999999999999</v>
      </c>
      <c r="R50" s="46">
        <f t="shared" si="5"/>
        <v>5.5537799999999997</v>
      </c>
      <c r="S50" s="151">
        <v>12.26</v>
      </c>
      <c r="T50" s="78">
        <f t="shared" si="6"/>
        <v>16.631019999999999</v>
      </c>
      <c r="U50" s="78">
        <f t="shared" si="23"/>
        <v>2.7718366666666667</v>
      </c>
      <c r="V50" s="47">
        <f t="shared" si="7"/>
        <v>14.846219999999999</v>
      </c>
      <c r="W50" s="10" t="s">
        <v>305</v>
      </c>
    </row>
    <row r="51" spans="1:23" ht="15" customHeight="1" x14ac:dyDescent="0.2">
      <c r="A51" s="32" t="s">
        <v>192</v>
      </c>
      <c r="B51" s="84" t="s">
        <v>30</v>
      </c>
      <c r="C51" s="85" t="s">
        <v>193</v>
      </c>
      <c r="D51" s="35" t="s">
        <v>90</v>
      </c>
      <c r="E51" s="35" t="s">
        <v>188</v>
      </c>
      <c r="F51" s="36">
        <v>6</v>
      </c>
      <c r="G51" s="33">
        <v>46</v>
      </c>
      <c r="H51" s="37">
        <v>39.380000000000003</v>
      </c>
      <c r="I51" s="38">
        <v>1</v>
      </c>
      <c r="J51" s="33" t="s">
        <v>92</v>
      </c>
      <c r="K51" s="39" t="s">
        <v>93</v>
      </c>
      <c r="L51" s="86">
        <v>18.149999999999999</v>
      </c>
      <c r="M51" s="120">
        <f>IF(ISNA(VLOOKUP($R$7,$AB$2:$BS$4,37,)),"", (VLOOKUP($R$7,$AB$2:$BS$4,37,)))</f>
        <v>17.14</v>
      </c>
      <c r="N51" s="149">
        <f t="shared" si="19"/>
        <v>1.009999999999998</v>
      </c>
      <c r="O51" s="43">
        <f t="shared" si="20"/>
        <v>1.7847999999999999</v>
      </c>
      <c r="P51" s="43">
        <f t="shared" si="21"/>
        <v>18.924800000000001</v>
      </c>
      <c r="Q51" s="148">
        <f t="shared" si="22"/>
        <v>17.14</v>
      </c>
      <c r="R51" s="46">
        <f t="shared" si="5"/>
        <v>6.9535499999999999</v>
      </c>
      <c r="S51" s="153">
        <v>15.35</v>
      </c>
      <c r="T51" s="78">
        <f t="shared" si="6"/>
        <v>11.971250000000001</v>
      </c>
      <c r="U51" s="78">
        <f t="shared" si="23"/>
        <v>1.9952083333333335</v>
      </c>
      <c r="V51" s="47">
        <f t="shared" si="7"/>
        <v>10.186450000000001</v>
      </c>
      <c r="W51" s="10"/>
    </row>
    <row r="52" spans="1:23" ht="15" customHeight="1" x14ac:dyDescent="0.2">
      <c r="A52" s="32" t="s">
        <v>194</v>
      </c>
      <c r="B52" s="84" t="s">
        <v>31</v>
      </c>
      <c r="C52" s="85" t="s">
        <v>195</v>
      </c>
      <c r="D52" s="35" t="s">
        <v>90</v>
      </c>
      <c r="E52" s="35" t="s">
        <v>196</v>
      </c>
      <c r="F52" s="36">
        <v>6</v>
      </c>
      <c r="G52" s="33">
        <v>48</v>
      </c>
      <c r="H52" s="37">
        <v>40.5</v>
      </c>
      <c r="I52" s="38">
        <v>1</v>
      </c>
      <c r="J52" s="33" t="s">
        <v>92</v>
      </c>
      <c r="K52" s="39" t="s">
        <v>93</v>
      </c>
      <c r="L52" s="86">
        <v>22.7</v>
      </c>
      <c r="M52" s="120">
        <f>IF(ISNA(VLOOKUP($R$7,$AB$2:$BS$4,38,)),"", (VLOOKUP($R$7,$AB$2:$BS$4,38,)))</f>
        <v>20.14</v>
      </c>
      <c r="N52" s="149">
        <f t="shared" si="19"/>
        <v>2.5599999999999987</v>
      </c>
      <c r="O52" s="43">
        <f t="shared" si="20"/>
        <v>1.8624000000000001</v>
      </c>
      <c r="P52" s="43">
        <f t="shared" si="21"/>
        <v>22.002400000000002</v>
      </c>
      <c r="Q52" s="148">
        <f t="shared" si="22"/>
        <v>20.14</v>
      </c>
      <c r="R52" s="46">
        <f t="shared" si="5"/>
        <v>4.7655599999999998</v>
      </c>
      <c r="S52" s="153">
        <v>10.52</v>
      </c>
      <c r="T52" s="78">
        <f t="shared" si="6"/>
        <v>17.236840000000001</v>
      </c>
      <c r="U52" s="78">
        <f t="shared" si="23"/>
        <v>2.872806666666667</v>
      </c>
      <c r="V52" s="47">
        <f t="shared" si="7"/>
        <v>15.37444</v>
      </c>
      <c r="W52" s="10"/>
    </row>
    <row r="53" spans="1:23" ht="15" customHeight="1" x14ac:dyDescent="0.2">
      <c r="A53" s="32" t="s">
        <v>197</v>
      </c>
      <c r="B53" s="84" t="s">
        <v>32</v>
      </c>
      <c r="C53" s="85" t="s">
        <v>198</v>
      </c>
      <c r="D53" s="35" t="s">
        <v>90</v>
      </c>
      <c r="E53" s="35" t="s">
        <v>188</v>
      </c>
      <c r="F53" s="36">
        <v>6</v>
      </c>
      <c r="G53" s="33">
        <v>45</v>
      </c>
      <c r="H53" s="37">
        <v>39.380000000000003</v>
      </c>
      <c r="I53" s="38">
        <v>1</v>
      </c>
      <c r="J53" s="33" t="s">
        <v>92</v>
      </c>
      <c r="K53" s="39" t="s">
        <v>93</v>
      </c>
      <c r="L53" s="86">
        <v>18</v>
      </c>
      <c r="M53" s="120">
        <v>15.92</v>
      </c>
      <c r="N53" s="149">
        <f t="shared" si="19"/>
        <v>2.08</v>
      </c>
      <c r="O53" s="43">
        <f t="shared" si="20"/>
        <v>1.746</v>
      </c>
      <c r="P53" s="43">
        <f t="shared" si="21"/>
        <v>17.666</v>
      </c>
      <c r="Q53" s="148">
        <f t="shared" si="22"/>
        <v>15.92</v>
      </c>
      <c r="R53" s="46">
        <f t="shared" si="5"/>
        <v>7.88673</v>
      </c>
      <c r="S53" s="153">
        <v>17.41</v>
      </c>
      <c r="T53" s="78">
        <f t="shared" si="6"/>
        <v>9.7792700000000004</v>
      </c>
      <c r="U53" s="78">
        <f t="shared" si="23"/>
        <v>1.6298783333333333</v>
      </c>
      <c r="V53" s="47">
        <f t="shared" si="7"/>
        <v>8.0332699999999999</v>
      </c>
      <c r="W53" s="10" t="s">
        <v>304</v>
      </c>
    </row>
    <row r="54" spans="1:23" ht="15" customHeight="1" x14ac:dyDescent="0.2">
      <c r="A54" s="32" t="s">
        <v>199</v>
      </c>
      <c r="B54" s="84" t="s">
        <v>33</v>
      </c>
      <c r="C54" s="85" t="s">
        <v>200</v>
      </c>
      <c r="D54" s="35" t="s">
        <v>90</v>
      </c>
      <c r="E54" s="35" t="s">
        <v>201</v>
      </c>
      <c r="F54" s="36">
        <v>6</v>
      </c>
      <c r="G54" s="33">
        <v>47</v>
      </c>
      <c r="H54" s="37">
        <v>41.63</v>
      </c>
      <c r="I54" s="38">
        <v>1</v>
      </c>
      <c r="J54" s="33" t="s">
        <v>92</v>
      </c>
      <c r="K54" s="39" t="s">
        <v>93</v>
      </c>
      <c r="L54" s="86">
        <v>29.05</v>
      </c>
      <c r="M54" s="120">
        <v>25.78</v>
      </c>
      <c r="N54" s="149">
        <f t="shared" si="19"/>
        <v>3.2699999999999996</v>
      </c>
      <c r="O54" s="43">
        <f t="shared" si="20"/>
        <v>1.8235999999999999</v>
      </c>
      <c r="P54" s="43">
        <f t="shared" si="21"/>
        <v>27.6036</v>
      </c>
      <c r="Q54" s="148">
        <f t="shared" si="22"/>
        <v>25.78</v>
      </c>
      <c r="R54" s="46">
        <f t="shared" si="5"/>
        <v>14.02941</v>
      </c>
      <c r="S54" s="153">
        <v>30.97</v>
      </c>
      <c r="T54" s="78">
        <f t="shared" si="6"/>
        <v>13.57419</v>
      </c>
      <c r="U54" s="78">
        <f t="shared" si="23"/>
        <v>2.262365</v>
      </c>
      <c r="V54" s="47">
        <f t="shared" si="7"/>
        <v>11.750590000000001</v>
      </c>
      <c r="W54" s="10" t="s">
        <v>305</v>
      </c>
    </row>
    <row r="55" spans="1:23" ht="15" customHeight="1" x14ac:dyDescent="0.2">
      <c r="A55" s="58" t="s">
        <v>202</v>
      </c>
      <c r="B55" s="73" t="s">
        <v>34</v>
      </c>
      <c r="C55" s="75" t="s">
        <v>203</v>
      </c>
      <c r="D55" s="51" t="s">
        <v>90</v>
      </c>
      <c r="E55" s="51" t="s">
        <v>181</v>
      </c>
      <c r="F55" s="52">
        <v>6</v>
      </c>
      <c r="G55" s="59">
        <v>46</v>
      </c>
      <c r="H55" s="61">
        <v>39.75</v>
      </c>
      <c r="I55" s="62">
        <v>1</v>
      </c>
      <c r="J55" s="59" t="s">
        <v>92</v>
      </c>
      <c r="K55" s="55" t="s">
        <v>93</v>
      </c>
      <c r="L55" s="77">
        <v>16.25</v>
      </c>
      <c r="M55" s="120">
        <v>14.48</v>
      </c>
      <c r="N55" s="147">
        <f t="shared" si="19"/>
        <v>1.7699999999999996</v>
      </c>
      <c r="O55" s="43">
        <f t="shared" si="20"/>
        <v>1.7847999999999999</v>
      </c>
      <c r="P55" s="43">
        <f t="shared" si="21"/>
        <v>16.264800000000001</v>
      </c>
      <c r="Q55" s="148">
        <f t="shared" si="22"/>
        <v>14.48</v>
      </c>
      <c r="R55" s="46">
        <f t="shared" si="5"/>
        <v>4.4031600000000006</v>
      </c>
      <c r="S55" s="153">
        <v>9.7200000000000006</v>
      </c>
      <c r="T55" s="78">
        <f t="shared" si="6"/>
        <v>11.861640000000001</v>
      </c>
      <c r="U55" s="78">
        <f t="shared" si="23"/>
        <v>1.9769400000000001</v>
      </c>
      <c r="V55" s="47">
        <f t="shared" si="7"/>
        <v>10.076840000000001</v>
      </c>
      <c r="W55" s="10" t="s">
        <v>305</v>
      </c>
    </row>
    <row r="56" spans="1:23" ht="15" customHeight="1" x14ac:dyDescent="0.2">
      <c r="A56" s="58" t="s">
        <v>204</v>
      </c>
      <c r="B56" s="73" t="s">
        <v>35</v>
      </c>
      <c r="C56" s="75" t="s">
        <v>205</v>
      </c>
      <c r="D56" s="51" t="s">
        <v>90</v>
      </c>
      <c r="E56" s="51" t="s">
        <v>181</v>
      </c>
      <c r="F56" s="52">
        <v>6</v>
      </c>
      <c r="G56" s="59">
        <v>45</v>
      </c>
      <c r="H56" s="61">
        <v>39.75</v>
      </c>
      <c r="I56" s="62">
        <v>1</v>
      </c>
      <c r="J56" s="59" t="s">
        <v>92</v>
      </c>
      <c r="K56" s="55" t="s">
        <v>93</v>
      </c>
      <c r="L56" s="77">
        <v>18.850000000000001</v>
      </c>
      <c r="M56" s="120">
        <f>IF(ISNA(VLOOKUP($R$7,$AB$2:$BS$4,42,)),"", (VLOOKUP($R$7,$AB$2:$BS$4,42,)))</f>
        <v>18.29</v>
      </c>
      <c r="N56" s="147">
        <f t="shared" si="19"/>
        <v>0.56000000000000227</v>
      </c>
      <c r="O56" s="43">
        <f t="shared" si="20"/>
        <v>1.746</v>
      </c>
      <c r="P56" s="43">
        <f t="shared" si="21"/>
        <v>20.035999999999998</v>
      </c>
      <c r="Q56" s="148">
        <f t="shared" si="22"/>
        <v>18.29</v>
      </c>
      <c r="R56" s="46">
        <f t="shared" si="5"/>
        <v>7.3657800000000009</v>
      </c>
      <c r="S56" s="153">
        <v>16.260000000000002</v>
      </c>
      <c r="T56" s="78">
        <f t="shared" si="6"/>
        <v>12.670219999999997</v>
      </c>
      <c r="U56" s="78">
        <f t="shared" si="23"/>
        <v>2.1117033333333328</v>
      </c>
      <c r="V56" s="47">
        <f t="shared" si="7"/>
        <v>10.924219999999998</v>
      </c>
      <c r="W56" s="10"/>
    </row>
    <row r="57" spans="1:23" ht="15" customHeight="1" x14ac:dyDescent="0.2">
      <c r="A57" s="58" t="s">
        <v>206</v>
      </c>
      <c r="B57" s="87" t="s">
        <v>36</v>
      </c>
      <c r="C57" s="88" t="s">
        <v>207</v>
      </c>
      <c r="D57" s="89" t="s">
        <v>208</v>
      </c>
      <c r="E57" s="89" t="s">
        <v>209</v>
      </c>
      <c r="F57" s="90">
        <v>8</v>
      </c>
      <c r="G57" s="87">
        <v>29</v>
      </c>
      <c r="H57" s="61">
        <v>24.58</v>
      </c>
      <c r="I57" s="91">
        <v>0.97</v>
      </c>
      <c r="J57" s="59" t="s">
        <v>210</v>
      </c>
      <c r="K57" s="55" t="s">
        <v>211</v>
      </c>
      <c r="L57" s="77">
        <v>10.3</v>
      </c>
      <c r="M57" s="120">
        <f>IF(ISNA(VLOOKUP($R$7,$AB$2:$BS$4,43,)),"", (VLOOKUP($R$7,$AB$2:$BS$4,43,)))</f>
        <v>10.039999999999999</v>
      </c>
      <c r="N57" s="147">
        <f t="shared" si="19"/>
        <v>0.26000000000000156</v>
      </c>
      <c r="O57" s="43">
        <f t="shared" si="20"/>
        <v>1.1252</v>
      </c>
      <c r="P57" s="43">
        <f t="shared" si="21"/>
        <v>11.165199999999999</v>
      </c>
      <c r="Q57" s="148">
        <f t="shared" si="22"/>
        <v>10.039999999999999</v>
      </c>
      <c r="R57" s="46">
        <f t="shared" si="5"/>
        <v>1.8346499999999999</v>
      </c>
      <c r="S57" s="154">
        <v>4.05</v>
      </c>
      <c r="T57" s="78">
        <f t="shared" si="6"/>
        <v>9.3305499999999988</v>
      </c>
      <c r="U57" s="78">
        <f t="shared" si="23"/>
        <v>1.1663187499999998</v>
      </c>
      <c r="V57" s="47">
        <f t="shared" si="7"/>
        <v>8.2053499999999993</v>
      </c>
      <c r="W57" s="10"/>
    </row>
    <row r="58" spans="1:23" ht="15" customHeight="1" x14ac:dyDescent="0.2">
      <c r="A58" s="58" t="s">
        <v>212</v>
      </c>
      <c r="B58" s="92" t="s">
        <v>37</v>
      </c>
      <c r="C58" s="75" t="s">
        <v>213</v>
      </c>
      <c r="D58" s="51" t="s">
        <v>214</v>
      </c>
      <c r="E58" s="51" t="s">
        <v>209</v>
      </c>
      <c r="F58" s="52">
        <v>12</v>
      </c>
      <c r="G58" s="59">
        <v>44</v>
      </c>
      <c r="H58" s="61">
        <v>36.86</v>
      </c>
      <c r="I58" s="62">
        <v>1</v>
      </c>
      <c r="J58" s="59" t="s">
        <v>215</v>
      </c>
      <c r="K58" s="51" t="s">
        <v>93</v>
      </c>
      <c r="L58" s="93">
        <v>14.15</v>
      </c>
      <c r="M58" s="120">
        <f>IF(ISNA(VLOOKUP($R$7,$AB$2:$BS$4,44,)),"", (VLOOKUP($R$7,$AB$2:$BS$4,44,)))</f>
        <v>13.89</v>
      </c>
      <c r="N58" s="41">
        <f t="shared" si="19"/>
        <v>0.25999999999999979</v>
      </c>
      <c r="O58" s="43">
        <f t="shared" si="20"/>
        <v>1.7072000000000001</v>
      </c>
      <c r="P58" s="43">
        <f t="shared" si="21"/>
        <v>15.597200000000001</v>
      </c>
      <c r="Q58" s="148">
        <f t="shared" si="22"/>
        <v>13.89</v>
      </c>
      <c r="R58" s="46">
        <f t="shared" si="5"/>
        <v>2.5821000000000001</v>
      </c>
      <c r="S58" s="154">
        <v>5.7</v>
      </c>
      <c r="T58" s="78">
        <f t="shared" si="6"/>
        <v>13.0151</v>
      </c>
      <c r="U58" s="78">
        <f t="shared" si="23"/>
        <v>1.0845916666666666</v>
      </c>
      <c r="V58" s="47">
        <f t="shared" si="7"/>
        <v>11.3079</v>
      </c>
      <c r="W58" s="10"/>
    </row>
    <row r="59" spans="1:23" ht="15" customHeight="1" x14ac:dyDescent="0.2">
      <c r="A59" s="58" t="s">
        <v>216</v>
      </c>
      <c r="B59" s="87" t="s">
        <v>217</v>
      </c>
      <c r="C59" s="144" t="s">
        <v>272</v>
      </c>
      <c r="D59" s="89" t="s">
        <v>218</v>
      </c>
      <c r="E59" s="89" t="s">
        <v>219</v>
      </c>
      <c r="F59" s="90">
        <v>6</v>
      </c>
      <c r="G59" s="87">
        <v>45</v>
      </c>
      <c r="H59" s="94">
        <v>38.25</v>
      </c>
      <c r="I59" s="91">
        <v>1</v>
      </c>
      <c r="J59" s="59" t="s">
        <v>92</v>
      </c>
      <c r="K59" s="51" t="s">
        <v>220</v>
      </c>
      <c r="L59" s="93">
        <v>17.600000000000001</v>
      </c>
      <c r="M59" s="120">
        <f>IF(ISNA(VLOOKUP($R$7,$AB$2:$BY$4,45,)),"", (VLOOKUP($R$7,$AB$2:$BY$4,45,)))</f>
        <v>17.09</v>
      </c>
      <c r="N59" s="41">
        <f t="shared" si="19"/>
        <v>0.51000000000000156</v>
      </c>
      <c r="O59" s="43">
        <f t="shared" si="20"/>
        <v>1.746</v>
      </c>
      <c r="P59" s="43">
        <f t="shared" si="21"/>
        <v>18.835999999999999</v>
      </c>
      <c r="Q59" s="148">
        <f t="shared" si="22"/>
        <v>17.09</v>
      </c>
      <c r="R59" s="46" t="s">
        <v>176</v>
      </c>
      <c r="S59" s="46" t="s">
        <v>176</v>
      </c>
      <c r="T59" s="46" t="s">
        <v>176</v>
      </c>
      <c r="U59" s="46" t="s">
        <v>176</v>
      </c>
      <c r="V59" s="46" t="s">
        <v>176</v>
      </c>
      <c r="W59" s="10"/>
    </row>
    <row r="60" spans="1:23" ht="15" customHeight="1" x14ac:dyDescent="0.2">
      <c r="A60" s="58" t="s">
        <v>221</v>
      </c>
      <c r="B60" s="87" t="s">
        <v>222</v>
      </c>
      <c r="C60" s="144" t="s">
        <v>271</v>
      </c>
      <c r="D60" s="89" t="s">
        <v>218</v>
      </c>
      <c r="E60" s="89" t="s">
        <v>181</v>
      </c>
      <c r="F60" s="90">
        <v>6</v>
      </c>
      <c r="G60" s="87">
        <v>45</v>
      </c>
      <c r="H60" s="94">
        <v>39.75</v>
      </c>
      <c r="I60" s="91">
        <v>1</v>
      </c>
      <c r="J60" s="59" t="s">
        <v>92</v>
      </c>
      <c r="K60" s="51" t="s">
        <v>220</v>
      </c>
      <c r="L60" s="93">
        <v>14.9</v>
      </c>
      <c r="M60" s="120">
        <f>IF(ISNA(VLOOKUP($R$7,$AB$2:$BY$4,46,)),"", (VLOOKUP($R$7,$AB$2:$BY$4,46,)))</f>
        <v>14.64</v>
      </c>
      <c r="N60" s="41">
        <f t="shared" si="19"/>
        <v>0.25999999999999979</v>
      </c>
      <c r="O60" s="43">
        <f t="shared" si="20"/>
        <v>1.746</v>
      </c>
      <c r="P60" s="43">
        <f t="shared" si="21"/>
        <v>16.385999999999999</v>
      </c>
      <c r="Q60" s="148">
        <f t="shared" si="22"/>
        <v>14.64</v>
      </c>
      <c r="R60" s="46" t="s">
        <v>176</v>
      </c>
      <c r="S60" s="46" t="s">
        <v>176</v>
      </c>
      <c r="T60" s="46" t="s">
        <v>176</v>
      </c>
      <c r="U60" s="46" t="s">
        <v>176</v>
      </c>
      <c r="V60" s="46" t="s">
        <v>176</v>
      </c>
      <c r="W60" s="10"/>
    </row>
    <row r="61" spans="1:23" ht="15" customHeight="1" x14ac:dyDescent="0.2">
      <c r="A61" s="58" t="s">
        <v>223</v>
      </c>
      <c r="B61" s="87" t="s">
        <v>224</v>
      </c>
      <c r="C61" s="144" t="s">
        <v>270</v>
      </c>
      <c r="D61" s="89" t="s">
        <v>218</v>
      </c>
      <c r="E61" s="89" t="s">
        <v>181</v>
      </c>
      <c r="F61" s="90">
        <v>6</v>
      </c>
      <c r="G61" s="87">
        <v>45</v>
      </c>
      <c r="H61" s="94">
        <v>39.75</v>
      </c>
      <c r="I61" s="91">
        <v>1</v>
      </c>
      <c r="J61" s="59" t="s">
        <v>92</v>
      </c>
      <c r="K61" s="51" t="s">
        <v>220</v>
      </c>
      <c r="L61" s="93">
        <v>17.2</v>
      </c>
      <c r="M61" s="120">
        <f>IF(ISNA(VLOOKUP($R$7,$AB$2:$BY$4,47,)),"", (VLOOKUP($R$7,$AB$2:$BY$4,47,)))</f>
        <v>16.940000000000001</v>
      </c>
      <c r="N61" s="41">
        <f t="shared" si="19"/>
        <v>0.25999999999999801</v>
      </c>
      <c r="O61" s="43">
        <f t="shared" si="20"/>
        <v>1.746</v>
      </c>
      <c r="P61" s="43">
        <f t="shared" si="21"/>
        <v>18.686</v>
      </c>
      <c r="Q61" s="148">
        <f t="shared" si="22"/>
        <v>16.940000000000001</v>
      </c>
      <c r="R61" s="46" t="s">
        <v>176</v>
      </c>
      <c r="S61" s="46" t="s">
        <v>176</v>
      </c>
      <c r="T61" s="46" t="s">
        <v>176</v>
      </c>
      <c r="U61" s="46" t="s">
        <v>176</v>
      </c>
      <c r="V61" s="46" t="s">
        <v>176</v>
      </c>
      <c r="W61" s="10"/>
    </row>
    <row r="62" spans="1:23" ht="27.75" customHeight="1" x14ac:dyDescent="0.2">
      <c r="A62" s="51"/>
      <c r="B62" s="89"/>
      <c r="C62" s="144" t="s">
        <v>273</v>
      </c>
      <c r="D62" s="89"/>
      <c r="E62" s="89"/>
      <c r="F62" s="89"/>
      <c r="G62" s="87"/>
      <c r="H62" s="89"/>
      <c r="I62" s="89"/>
      <c r="J62" s="87"/>
      <c r="K62" s="222" t="s">
        <v>289</v>
      </c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10"/>
    </row>
    <row r="63" spans="1:23" ht="14.1" customHeight="1" x14ac:dyDescent="0.2">
      <c r="A63" s="223" t="s">
        <v>225</v>
      </c>
      <c r="B63" s="224"/>
      <c r="C63" s="225"/>
      <c r="D63" s="226" t="s">
        <v>226</v>
      </c>
      <c r="E63" s="227"/>
      <c r="F63" s="227"/>
      <c r="G63" s="227"/>
      <c r="H63" s="227"/>
      <c r="I63" s="227"/>
      <c r="J63" s="227"/>
      <c r="K63" s="228" t="s">
        <v>227</v>
      </c>
      <c r="L63" s="229"/>
      <c r="M63" s="95">
        <f>O11</f>
        <v>3.88</v>
      </c>
      <c r="N63" s="96"/>
      <c r="O63" s="97"/>
      <c r="P63" s="97"/>
      <c r="Q63" s="97"/>
      <c r="R63" s="98"/>
      <c r="S63" s="98"/>
      <c r="T63" s="98"/>
      <c r="U63" s="99"/>
      <c r="V63" s="100"/>
      <c r="W63" s="10"/>
    </row>
    <row r="64" spans="1:23" ht="14.1" customHeight="1" x14ac:dyDescent="0.2">
      <c r="A64" s="230" t="s">
        <v>228</v>
      </c>
      <c r="B64" s="231"/>
      <c r="C64" s="232"/>
      <c r="D64" s="233"/>
      <c r="E64" s="234"/>
      <c r="F64" s="234"/>
      <c r="G64" s="234"/>
      <c r="H64" s="234"/>
      <c r="I64" s="234"/>
      <c r="J64" s="235" t="s">
        <v>229</v>
      </c>
      <c r="K64" s="235"/>
      <c r="L64" s="235"/>
      <c r="M64" s="101">
        <f>Q11</f>
        <v>0</v>
      </c>
      <c r="N64" s="102"/>
      <c r="O64" s="96"/>
      <c r="P64" s="96"/>
      <c r="Q64" s="103"/>
      <c r="R64" s="104"/>
      <c r="S64" s="104"/>
      <c r="T64" s="104"/>
      <c r="U64" s="104"/>
      <c r="V64" s="100"/>
      <c r="W64" s="10"/>
    </row>
    <row r="65" spans="1:23" ht="14.1" customHeight="1" x14ac:dyDescent="0.2">
      <c r="A65" s="105" t="s">
        <v>230</v>
      </c>
      <c r="B65" s="106"/>
      <c r="C65" s="106"/>
      <c r="D65" s="236"/>
      <c r="E65" s="237"/>
      <c r="F65" s="237"/>
      <c r="G65" s="237"/>
      <c r="H65" s="237"/>
      <c r="I65" s="237"/>
      <c r="J65" s="238" t="s">
        <v>231</v>
      </c>
      <c r="K65" s="238"/>
      <c r="L65" s="238"/>
      <c r="M65" s="101">
        <v>0</v>
      </c>
      <c r="N65" s="107"/>
      <c r="O65" s="96"/>
      <c r="P65" s="96"/>
      <c r="Q65" s="103"/>
      <c r="R65" s="104"/>
      <c r="S65" s="104"/>
      <c r="T65" s="104"/>
      <c r="U65" s="104"/>
      <c r="V65" s="100"/>
      <c r="W65" s="10"/>
    </row>
    <row r="66" spans="1:23" ht="14.1" customHeight="1" x14ac:dyDescent="0.2">
      <c r="A66" s="105" t="s">
        <v>232</v>
      </c>
      <c r="B66" s="106"/>
      <c r="C66" s="106"/>
      <c r="D66" s="219" t="s">
        <v>233</v>
      </c>
      <c r="E66" s="219"/>
      <c r="F66" s="219"/>
      <c r="G66" s="219"/>
      <c r="H66" s="220" t="s">
        <v>234</v>
      </c>
      <c r="I66" s="220"/>
      <c r="J66" s="220"/>
      <c r="K66" s="221" t="s">
        <v>235</v>
      </c>
      <c r="L66" s="221"/>
      <c r="M66" s="221"/>
      <c r="N66" s="99"/>
      <c r="O66" s="96"/>
      <c r="P66" s="96"/>
      <c r="Q66" s="103"/>
      <c r="R66" s="104"/>
      <c r="S66" s="104"/>
      <c r="T66" s="104"/>
      <c r="U66" s="104"/>
      <c r="V66" s="100"/>
      <c r="W66" s="10"/>
    </row>
    <row r="67" spans="1:23" ht="14.1" customHeight="1" x14ac:dyDescent="0.2">
      <c r="A67" s="105" t="s">
        <v>236</v>
      </c>
      <c r="B67" s="106"/>
      <c r="C67" s="106"/>
      <c r="D67" s="239" t="s">
        <v>237</v>
      </c>
      <c r="E67" s="239"/>
      <c r="F67" s="239"/>
      <c r="G67" s="239"/>
      <c r="H67" s="240" t="s">
        <v>46</v>
      </c>
      <c r="I67" s="240"/>
      <c r="J67" s="240"/>
      <c r="K67" s="240" t="s">
        <v>238</v>
      </c>
      <c r="L67" s="240"/>
      <c r="M67" s="240"/>
      <c r="N67" s="108"/>
      <c r="O67" s="109"/>
      <c r="P67" s="109"/>
      <c r="Q67" s="103"/>
      <c r="R67" s="104"/>
      <c r="S67" s="104"/>
      <c r="T67" s="104"/>
      <c r="U67" s="104"/>
      <c r="V67" s="100"/>
      <c r="W67" s="10"/>
    </row>
    <row r="68" spans="1:23" ht="14.1" customHeight="1" x14ac:dyDescent="0.2">
      <c r="A68" s="241" t="s">
        <v>290</v>
      </c>
      <c r="B68" s="242"/>
      <c r="C68" s="242"/>
      <c r="D68" s="239" t="s">
        <v>239</v>
      </c>
      <c r="E68" s="239"/>
      <c r="F68" s="239"/>
      <c r="G68" s="239"/>
      <c r="H68" s="240" t="str">
        <f>IF(ISNA(VLOOKUP($H$67,$BZ$1:$CD$6,2,)),"", (VLOOKUP($H$67,$BZ$1:$CD$6,2,)))</f>
        <v>K12 Eastern Sls. Mgr</v>
      </c>
      <c r="I68" s="240"/>
      <c r="J68" s="240"/>
      <c r="K68" s="240" t="s">
        <v>240</v>
      </c>
      <c r="L68" s="240"/>
      <c r="M68" s="240"/>
      <c r="N68" s="108"/>
      <c r="O68" s="96"/>
      <c r="P68" s="96"/>
      <c r="Q68" s="103"/>
      <c r="R68" s="104"/>
      <c r="S68" s="104"/>
      <c r="T68" s="104"/>
      <c r="U68" s="104"/>
      <c r="V68" s="100"/>
      <c r="W68" s="10"/>
    </row>
    <row r="69" spans="1:23" ht="14.1" customHeight="1" x14ac:dyDescent="0.2">
      <c r="A69" s="241"/>
      <c r="B69" s="242"/>
      <c r="C69" s="242"/>
      <c r="D69" s="239" t="s">
        <v>241</v>
      </c>
      <c r="E69" s="239"/>
      <c r="F69" s="239"/>
      <c r="G69" s="239"/>
      <c r="H69" s="240" t="str">
        <f>IF(ISNA(VLOOKUP($H$67,$BZ$1:$CD$6,3,)),"", (VLOOKUP($H$67,$BZ$1:$CD$6,3,)))</f>
        <v>Allentown, PA</v>
      </c>
      <c r="I69" s="240"/>
      <c r="J69" s="240"/>
      <c r="K69" s="243" t="s">
        <v>242</v>
      </c>
      <c r="L69" s="243"/>
      <c r="M69" s="243"/>
      <c r="N69" s="110"/>
      <c r="O69" s="96"/>
      <c r="P69" s="96"/>
      <c r="Q69" s="103"/>
      <c r="R69" s="104"/>
      <c r="S69" s="104"/>
      <c r="T69" s="104"/>
      <c r="U69" s="104"/>
      <c r="V69" s="100"/>
      <c r="W69" s="10"/>
    </row>
    <row r="70" spans="1:23" ht="14.1" customHeight="1" x14ac:dyDescent="0.2">
      <c r="A70" s="244" t="s">
        <v>306</v>
      </c>
      <c r="B70" s="245"/>
      <c r="C70" s="246"/>
      <c r="D70" s="239" t="s">
        <v>244</v>
      </c>
      <c r="E70" s="239"/>
      <c r="F70" s="239"/>
      <c r="G70" s="239"/>
      <c r="H70" s="240" t="str">
        <f>IF(ISNA(VLOOKUP($H$67,$BZ$1:$CD$6,4,)),"", (VLOOKUP($H$67,$BZ$1:$CD$6,4,)))</f>
        <v>(484) 239-1621</v>
      </c>
      <c r="I70" s="240"/>
      <c r="J70" s="240"/>
      <c r="K70" s="247" t="s">
        <v>245</v>
      </c>
      <c r="L70" s="247"/>
      <c r="M70" s="247"/>
      <c r="N70" s="111"/>
      <c r="O70" s="96"/>
      <c r="P70" s="96"/>
      <c r="Q70" s="112"/>
      <c r="R70" s="113"/>
      <c r="S70" s="113"/>
      <c r="T70" s="113"/>
      <c r="U70" s="113"/>
      <c r="V70" s="100"/>
      <c r="W70" s="10"/>
    </row>
    <row r="71" spans="1:23" ht="14.1" customHeight="1" x14ac:dyDescent="0.2">
      <c r="A71" s="114" t="s">
        <v>246</v>
      </c>
      <c r="B71" s="115"/>
      <c r="C71" s="116" t="s">
        <v>307</v>
      </c>
      <c r="D71" s="239" t="s">
        <v>247</v>
      </c>
      <c r="E71" s="239"/>
      <c r="F71" s="239"/>
      <c r="G71" s="239"/>
      <c r="H71" s="249"/>
      <c r="I71" s="249"/>
      <c r="J71" s="249"/>
      <c r="K71" s="250"/>
      <c r="L71" s="251"/>
      <c r="M71" s="252"/>
      <c r="N71" s="117"/>
      <c r="O71" s="117"/>
      <c r="P71" s="117"/>
      <c r="Q71" s="117"/>
      <c r="R71" s="118"/>
      <c r="S71" s="118"/>
      <c r="T71" s="118"/>
      <c r="U71" s="118"/>
      <c r="V71" s="100"/>
      <c r="W71" s="10"/>
    </row>
    <row r="72" spans="1:23" ht="14.1" customHeight="1" x14ac:dyDescent="0.2">
      <c r="A72" s="253"/>
      <c r="B72" s="253"/>
      <c r="C72" s="253"/>
      <c r="D72" s="239" t="s">
        <v>248</v>
      </c>
      <c r="E72" s="239"/>
      <c r="F72" s="239"/>
      <c r="G72" s="239"/>
      <c r="H72" s="254" t="str">
        <f>IF(ISNA(VLOOKUP($H$67,$BZ$1:$CD$6,5,)),"", (VLOOKUP($H$67,$BZ$1:$CD$6,5,)))</f>
        <v>tholmes@redgold.com</v>
      </c>
      <c r="I72" s="254"/>
      <c r="J72" s="254"/>
      <c r="K72" s="255" t="s">
        <v>249</v>
      </c>
      <c r="L72" s="255"/>
      <c r="M72" s="255"/>
      <c r="N72" s="10"/>
      <c r="O72" s="10"/>
      <c r="P72" s="10"/>
      <c r="Q72" s="10"/>
      <c r="R72" s="100"/>
      <c r="S72" s="100"/>
      <c r="T72" s="100"/>
      <c r="U72" s="100"/>
      <c r="V72" s="100"/>
      <c r="W72" s="10"/>
    </row>
    <row r="73" spans="1:23" ht="15.75" x14ac:dyDescent="0.25">
      <c r="A73" s="248" t="s">
        <v>250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10"/>
      <c r="O73" s="10"/>
      <c r="P73" s="10"/>
      <c r="Q73" s="10"/>
      <c r="R73" s="100"/>
      <c r="S73" s="100"/>
      <c r="T73" s="100"/>
      <c r="U73" s="100"/>
      <c r="V73" s="100"/>
      <c r="W73" s="10"/>
    </row>
  </sheetData>
  <mergeCells count="78">
    <mergeCell ref="A73:M73"/>
    <mergeCell ref="D71:G71"/>
    <mergeCell ref="H71:J71"/>
    <mergeCell ref="K71:M71"/>
    <mergeCell ref="A72:C72"/>
    <mergeCell ref="D72:G72"/>
    <mergeCell ref="H72:J72"/>
    <mergeCell ref="K72:M72"/>
    <mergeCell ref="A69:C69"/>
    <mergeCell ref="D69:G69"/>
    <mergeCell ref="H69:J69"/>
    <mergeCell ref="K69:M69"/>
    <mergeCell ref="A70:C70"/>
    <mergeCell ref="D70:G70"/>
    <mergeCell ref="H70:J70"/>
    <mergeCell ref="K70:M70"/>
    <mergeCell ref="D67:G67"/>
    <mergeCell ref="H67:J67"/>
    <mergeCell ref="K67:M67"/>
    <mergeCell ref="A68:C68"/>
    <mergeCell ref="D68:G68"/>
    <mergeCell ref="H68:J68"/>
    <mergeCell ref="K68:M68"/>
    <mergeCell ref="A63:C63"/>
    <mergeCell ref="D63:J63"/>
    <mergeCell ref="K63:L63"/>
    <mergeCell ref="A64:C64"/>
    <mergeCell ref="D64:I64"/>
    <mergeCell ref="J64:L64"/>
    <mergeCell ref="A12:C12"/>
    <mergeCell ref="D12:V12"/>
    <mergeCell ref="A42:C42"/>
    <mergeCell ref="D42:V42"/>
    <mergeCell ref="K62:V62"/>
    <mergeCell ref="T10:T11"/>
    <mergeCell ref="U10:U11"/>
    <mergeCell ref="D66:G66"/>
    <mergeCell ref="H66:J66"/>
    <mergeCell ref="K66:M66"/>
    <mergeCell ref="D65:I65"/>
    <mergeCell ref="J65:L65"/>
    <mergeCell ref="W9:W11"/>
    <mergeCell ref="A10:A11"/>
    <mergeCell ref="B10:B11"/>
    <mergeCell ref="C10:C11"/>
    <mergeCell ref="D10:D11"/>
    <mergeCell ref="E10:E11"/>
    <mergeCell ref="F10:F11"/>
    <mergeCell ref="G10:G11"/>
    <mergeCell ref="H10:H11"/>
    <mergeCell ref="V10:V11"/>
    <mergeCell ref="I10:I11"/>
    <mergeCell ref="J10:J11"/>
    <mergeCell ref="K10:K11"/>
    <mergeCell ref="L10:L11"/>
    <mergeCell ref="M10:M11"/>
    <mergeCell ref="N10:N11"/>
    <mergeCell ref="E3:L6"/>
    <mergeCell ref="E7:H7"/>
    <mergeCell ref="I7:K7"/>
    <mergeCell ref="O7:Q7"/>
    <mergeCell ref="R7:S7"/>
    <mergeCell ref="T7:V8"/>
    <mergeCell ref="A35:C35"/>
    <mergeCell ref="D35:V35"/>
    <mergeCell ref="A27:C27"/>
    <mergeCell ref="D27:V27"/>
    <mergeCell ref="C8:D8"/>
    <mergeCell ref="E8:H8"/>
    <mergeCell ref="I8:K8"/>
    <mergeCell ref="M8:R8"/>
    <mergeCell ref="C9:K9"/>
    <mergeCell ref="L9:Q9"/>
    <mergeCell ref="R9:S9"/>
    <mergeCell ref="T9:V9"/>
    <mergeCell ref="P10:P11"/>
    <mergeCell ref="R10:R11"/>
    <mergeCell ref="S10:S11"/>
  </mergeCells>
  <dataValidations count="2">
    <dataValidation type="list" allowBlank="1" showInputMessage="1" showErrorMessage="1" sqref="H67:J67">
      <formula1>$BZ$1:$BZ$6</formula1>
    </dataValidation>
    <dataValidation type="list" allowBlank="1" showInputMessage="1" showErrorMessage="1" sqref="R7:S7">
      <formula1>$AB$2:$AB$4</formula1>
    </dataValidation>
  </dataValidations>
  <hyperlinks>
    <hyperlink ref="CD2" r:id="rId1"/>
    <hyperlink ref="K72" r:id="rId2"/>
    <hyperlink ref="M72" r:id="rId3" display="dsaverino@redgold.com"/>
    <hyperlink ref="K72:M72" r:id="rId4" display="jchaffin@redgold.com"/>
    <hyperlink ref="CD3" r:id="rId5"/>
    <hyperlink ref="CD6" r:id="rId6"/>
  </hyperlinks>
  <pageMargins left="0.25" right="0.25" top="0.75" bottom="0.75" header="0.3" footer="0.3"/>
  <pageSetup scale="40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progId="MSPhotoEd.3" shapeId="1025" r:id="rId10">
          <objectPr defaultSize="0" autoPict="0" r:id="rId11">
            <anchor moveWithCells="1">
              <from>
                <xdr:col>2</xdr:col>
                <xdr:colOff>285750</xdr:colOff>
                <xdr:row>0</xdr:row>
                <xdr:rowOff>171450</xdr:rowOff>
              </from>
              <to>
                <xdr:col>2</xdr:col>
                <xdr:colOff>3076575</xdr:colOff>
                <xdr:row>4</xdr:row>
                <xdr:rowOff>228600</xdr:rowOff>
              </to>
            </anchor>
          </objectPr>
        </oleObject>
      </mc:Choice>
      <mc:Fallback>
        <oleObject progId="MSPhotoEd.3" shapeId="1025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D73"/>
  <sheetViews>
    <sheetView zoomScale="70" zoomScaleNormal="70" workbookViewId="0">
      <selection activeCell="C48" sqref="C48"/>
    </sheetView>
  </sheetViews>
  <sheetFormatPr defaultRowHeight="12.75" x14ac:dyDescent="0.2"/>
  <cols>
    <col min="1" max="1" width="21" style="11" customWidth="1"/>
    <col min="2" max="2" width="14.28515625" style="11" customWidth="1"/>
    <col min="3" max="3" width="77.42578125" style="11" customWidth="1"/>
    <col min="4" max="4" width="14.140625" style="11" customWidth="1"/>
    <col min="5" max="5" width="8.140625" style="11" customWidth="1"/>
    <col min="6" max="6" width="7.42578125" style="11" customWidth="1"/>
    <col min="7" max="7" width="7.7109375" style="11" customWidth="1"/>
    <col min="8" max="8" width="8" style="11" customWidth="1"/>
    <col min="9" max="9" width="6.42578125" style="11" customWidth="1"/>
    <col min="10" max="10" width="19.42578125" style="11" customWidth="1"/>
    <col min="11" max="11" width="10.7109375" style="11" customWidth="1"/>
    <col min="12" max="12" width="11.42578125" style="11" customWidth="1"/>
    <col min="13" max="13" width="11.85546875" style="11" customWidth="1"/>
    <col min="14" max="14" width="13.140625" style="11" customWidth="1"/>
    <col min="15" max="15" width="9.42578125" style="11" customWidth="1"/>
    <col min="16" max="16" width="10" style="11" customWidth="1"/>
    <col min="17" max="17" width="10.42578125" style="11" customWidth="1"/>
    <col min="18" max="18" width="9.140625" style="119"/>
    <col min="19" max="19" width="12.140625" style="119" customWidth="1"/>
    <col min="20" max="20" width="10.7109375" style="119" customWidth="1"/>
    <col min="21" max="21" width="10.5703125" style="119" customWidth="1"/>
    <col min="22" max="22" width="11.42578125" style="119" customWidth="1"/>
    <col min="23" max="23" width="10.140625" style="11" customWidth="1"/>
    <col min="24" max="27" width="9.140625" style="11"/>
    <col min="28" max="28" width="9.140625" style="11" hidden="1" customWidth="1"/>
    <col min="29" max="31" width="9.7109375" style="11" hidden="1" customWidth="1"/>
    <col min="32" max="33" width="10.140625" style="11" hidden="1" customWidth="1"/>
    <col min="34" max="34" width="13.140625" style="11" hidden="1" customWidth="1"/>
    <col min="35" max="38" width="10.140625" style="11" hidden="1" customWidth="1"/>
    <col min="39" max="39" width="9.5703125" style="11" hidden="1" customWidth="1"/>
    <col min="40" max="40" width="9.7109375" style="11" hidden="1" customWidth="1"/>
    <col min="41" max="42" width="10.5703125" style="11" hidden="1" customWidth="1"/>
    <col min="43" max="43" width="10.140625" style="11" hidden="1" customWidth="1"/>
    <col min="44" max="44" width="9.7109375" style="11" hidden="1" customWidth="1"/>
    <col min="45" max="45" width="10.140625" style="11" hidden="1" customWidth="1"/>
    <col min="46" max="46" width="14" style="11" hidden="1" customWidth="1"/>
    <col min="47" max="47" width="14.5703125" style="11" hidden="1" customWidth="1"/>
    <col min="48" max="48" width="14.28515625" style="11" hidden="1" customWidth="1"/>
    <col min="49" max="49" width="14.85546875" style="11" hidden="1" customWidth="1"/>
    <col min="50" max="51" width="10.140625" style="11" hidden="1" customWidth="1"/>
    <col min="52" max="52" width="13.7109375" style="11" hidden="1" customWidth="1"/>
    <col min="53" max="53" width="14.42578125" style="11" hidden="1" customWidth="1"/>
    <col min="54" max="55" width="9.7109375" style="11" hidden="1" customWidth="1"/>
    <col min="56" max="56" width="10" style="11" hidden="1" customWidth="1"/>
    <col min="57" max="57" width="9.85546875" style="11" hidden="1" customWidth="1"/>
    <col min="58" max="58" width="10.42578125" style="11" hidden="1" customWidth="1"/>
    <col min="59" max="59" width="10.5703125" style="11" hidden="1" customWidth="1"/>
    <col min="60" max="61" width="10.28515625" style="11" hidden="1" customWidth="1"/>
    <col min="62" max="63" width="9.140625" style="11" hidden="1" customWidth="1"/>
    <col min="64" max="64" width="9.28515625" style="11" hidden="1" customWidth="1"/>
    <col min="65" max="65" width="9.7109375" style="11" hidden="1" customWidth="1"/>
    <col min="66" max="69" width="10.28515625" style="11" hidden="1" customWidth="1"/>
    <col min="70" max="70" width="14.28515625" style="11" hidden="1" customWidth="1"/>
    <col min="71" max="74" width="10" style="11" hidden="1" customWidth="1"/>
    <col min="75" max="76" width="9.140625" style="11" hidden="1" customWidth="1"/>
    <col min="77" max="77" width="12.28515625" style="11" hidden="1" customWidth="1"/>
    <col min="78" max="78" width="14.28515625" style="11" hidden="1" customWidth="1"/>
    <col min="79" max="79" width="19.7109375" style="11" hidden="1" customWidth="1"/>
    <col min="80" max="80" width="11.5703125" style="11" hidden="1" customWidth="1"/>
    <col min="81" max="81" width="15.42578125" style="11" hidden="1" customWidth="1"/>
    <col min="82" max="82" width="22.28515625" style="11" hidden="1" customWidth="1"/>
    <col min="83" max="83" width="9.140625" style="11" customWidth="1"/>
    <col min="84" max="16384" width="9.140625" style="11"/>
  </cols>
  <sheetData>
    <row r="1" spans="1:82" ht="15" customHeight="1" x14ac:dyDescent="0.2">
      <c r="A1" s="1" t="s">
        <v>0</v>
      </c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6"/>
      <c r="P1" s="6"/>
      <c r="Q1" s="7"/>
      <c r="R1" s="8"/>
      <c r="S1" s="8"/>
      <c r="T1" s="8"/>
      <c r="U1" s="8"/>
      <c r="V1" s="9"/>
      <c r="W1" s="10"/>
      <c r="AC1" s="11" t="s">
        <v>1</v>
      </c>
      <c r="AD1" s="11" t="s">
        <v>2</v>
      </c>
      <c r="AE1" s="11" t="s">
        <v>3</v>
      </c>
      <c r="AF1" s="11" t="s">
        <v>4</v>
      </c>
      <c r="AG1" s="11" t="s">
        <v>5</v>
      </c>
      <c r="AH1" s="11" t="s">
        <v>6</v>
      </c>
      <c r="AI1" s="11" t="s">
        <v>7</v>
      </c>
      <c r="AJ1" s="11" t="s">
        <v>8</v>
      </c>
      <c r="AK1" s="11" t="s">
        <v>11</v>
      </c>
      <c r="AL1" s="11" t="s">
        <v>12</v>
      </c>
      <c r="AM1" s="11" t="s">
        <v>13</v>
      </c>
      <c r="AN1" s="11" t="s">
        <v>14</v>
      </c>
      <c r="AO1" s="11" t="s">
        <v>142</v>
      </c>
      <c r="AP1" s="11" t="s">
        <v>147</v>
      </c>
      <c r="AQ1" s="11" t="s">
        <v>20</v>
      </c>
      <c r="AR1" s="11" t="s">
        <v>21</v>
      </c>
      <c r="AS1" s="11" t="s">
        <v>17</v>
      </c>
      <c r="AT1" s="11" t="s">
        <v>15</v>
      </c>
      <c r="AU1" s="11" t="s">
        <v>16</v>
      </c>
      <c r="AV1" s="11" t="s">
        <v>18</v>
      </c>
      <c r="AW1" s="11" t="s">
        <v>19</v>
      </c>
      <c r="AX1" s="11" t="s">
        <v>9</v>
      </c>
      <c r="AY1" s="11" t="s">
        <v>10</v>
      </c>
      <c r="AZ1" s="11" t="s">
        <v>173</v>
      </c>
      <c r="BA1" s="11" t="s">
        <v>175</v>
      </c>
      <c r="BB1" s="11" t="s">
        <v>276</v>
      </c>
      <c r="BD1" s="11" t="s">
        <v>22</v>
      </c>
      <c r="BE1" s="11" t="s">
        <v>23</v>
      </c>
      <c r="BF1" s="11" t="s">
        <v>24</v>
      </c>
      <c r="BG1" s="11" t="s">
        <v>25</v>
      </c>
      <c r="BH1" s="11" t="s">
        <v>26</v>
      </c>
      <c r="BI1" s="11" t="s">
        <v>27</v>
      </c>
      <c r="BJ1" s="11" t="s">
        <v>28</v>
      </c>
      <c r="BK1" s="11" t="s">
        <v>29</v>
      </c>
      <c r="BL1" s="11" t="s">
        <v>30</v>
      </c>
      <c r="BM1" s="11" t="s">
        <v>31</v>
      </c>
      <c r="BN1" s="11" t="s">
        <v>32</v>
      </c>
      <c r="BO1" s="11" t="s">
        <v>33</v>
      </c>
      <c r="BP1" s="11" t="s">
        <v>34</v>
      </c>
      <c r="BQ1" s="11" t="s">
        <v>35</v>
      </c>
      <c r="BR1" s="11" t="s">
        <v>36</v>
      </c>
      <c r="BS1" s="11" t="s">
        <v>37</v>
      </c>
      <c r="BT1" s="11" t="s">
        <v>217</v>
      </c>
      <c r="BU1" s="11" t="s">
        <v>222</v>
      </c>
      <c r="BV1" s="11" t="s">
        <v>224</v>
      </c>
      <c r="BY1" s="11" t="s">
        <v>38</v>
      </c>
      <c r="BZ1" s="11" t="s">
        <v>277</v>
      </c>
      <c r="CA1" s="11" t="s">
        <v>39</v>
      </c>
      <c r="CB1" s="11" t="s">
        <v>277</v>
      </c>
      <c r="CC1" s="11" t="s">
        <v>277</v>
      </c>
      <c r="CD1" s="11" t="s">
        <v>277</v>
      </c>
    </row>
    <row r="2" spans="1:82" ht="36" customHeight="1" x14ac:dyDescent="0.2">
      <c r="A2" s="12" t="s">
        <v>40</v>
      </c>
      <c r="B2" s="141" t="s">
        <v>268</v>
      </c>
      <c r="C2" s="3"/>
      <c r="D2" s="5"/>
      <c r="E2" s="5"/>
      <c r="F2" s="5"/>
      <c r="G2" s="5"/>
      <c r="H2" s="5"/>
      <c r="I2" s="5"/>
      <c r="J2" s="14"/>
      <c r="K2" s="5"/>
      <c r="L2" s="5"/>
      <c r="M2" s="5"/>
      <c r="N2" s="5"/>
      <c r="O2" s="6"/>
      <c r="P2" s="6"/>
      <c r="Q2" s="7"/>
      <c r="R2" s="8"/>
      <c r="S2" s="8"/>
      <c r="T2" s="8"/>
      <c r="U2" s="8"/>
      <c r="V2" s="9"/>
      <c r="W2" s="10"/>
      <c r="AB2" s="15" t="s">
        <v>41</v>
      </c>
      <c r="AC2" s="16">
        <v>0.51</v>
      </c>
      <c r="AD2" s="16">
        <v>0.51</v>
      </c>
      <c r="AE2" s="16">
        <v>0.51</v>
      </c>
      <c r="AF2" s="16">
        <v>0.26</v>
      </c>
      <c r="AG2" s="16">
        <v>0.51</v>
      </c>
      <c r="AH2" s="16">
        <v>0.26</v>
      </c>
      <c r="AI2" s="16">
        <v>0.51</v>
      </c>
      <c r="AJ2" s="16">
        <v>0.51</v>
      </c>
      <c r="AK2" s="16">
        <v>0.26</v>
      </c>
      <c r="AL2" s="16">
        <v>0.51</v>
      </c>
      <c r="AM2" s="16">
        <v>0.26</v>
      </c>
      <c r="AN2" s="16">
        <v>0.26</v>
      </c>
      <c r="AO2" s="16">
        <v>0.26</v>
      </c>
      <c r="AP2" s="16">
        <v>0.26</v>
      </c>
      <c r="AQ2" s="16">
        <v>0.26</v>
      </c>
      <c r="AR2" s="16">
        <v>0.26</v>
      </c>
      <c r="AS2" s="16">
        <v>0.26</v>
      </c>
      <c r="AT2" s="16">
        <v>0.26</v>
      </c>
      <c r="AU2" s="16">
        <v>0.51</v>
      </c>
      <c r="AV2" s="16">
        <v>0.26</v>
      </c>
      <c r="AW2" s="16">
        <v>0.26</v>
      </c>
      <c r="AX2" s="16">
        <v>0.26</v>
      </c>
      <c r="AY2" s="16">
        <v>0.51</v>
      </c>
      <c r="AZ2" s="16">
        <v>0.51</v>
      </c>
      <c r="BA2" s="16">
        <v>0.26</v>
      </c>
      <c r="BB2" s="16">
        <v>0.26</v>
      </c>
      <c r="BD2" s="16">
        <v>0.26</v>
      </c>
      <c r="BE2" s="16">
        <v>0.26</v>
      </c>
      <c r="BF2" s="16">
        <v>0.51</v>
      </c>
      <c r="BG2" s="16">
        <v>0.26</v>
      </c>
      <c r="BH2" s="16">
        <v>0.51</v>
      </c>
      <c r="BI2" s="16">
        <v>0.26</v>
      </c>
      <c r="BJ2" s="16">
        <v>0.51</v>
      </c>
      <c r="BK2" s="16">
        <v>0.26</v>
      </c>
      <c r="BL2" s="16">
        <v>0.26</v>
      </c>
      <c r="BM2" s="16">
        <v>0.51</v>
      </c>
      <c r="BN2" s="16">
        <v>0.26</v>
      </c>
      <c r="BO2" s="16">
        <v>0.26</v>
      </c>
      <c r="BP2" s="16">
        <v>0.26</v>
      </c>
      <c r="BQ2" s="16">
        <v>0.26</v>
      </c>
      <c r="BR2" s="16">
        <v>0.26</v>
      </c>
      <c r="BS2" s="16">
        <v>0.26</v>
      </c>
      <c r="BT2" s="16">
        <v>0.51</v>
      </c>
      <c r="BU2" s="16">
        <v>0.26</v>
      </c>
      <c r="BV2" s="16">
        <v>0.26</v>
      </c>
      <c r="BW2" s="11" t="s">
        <v>42</v>
      </c>
      <c r="BX2" s="15" t="s">
        <v>43</v>
      </c>
      <c r="BZ2" s="11" t="s">
        <v>278</v>
      </c>
      <c r="CA2" s="11" t="s">
        <v>280</v>
      </c>
      <c r="CB2" s="11" t="s">
        <v>279</v>
      </c>
      <c r="CC2" s="11" t="s">
        <v>281</v>
      </c>
      <c r="CD2" s="17" t="s">
        <v>282</v>
      </c>
    </row>
    <row r="3" spans="1:82" ht="26.25" x14ac:dyDescent="0.2">
      <c r="A3" s="18" t="s">
        <v>44</v>
      </c>
      <c r="B3" s="19"/>
      <c r="C3" s="3"/>
      <c r="D3" s="5"/>
      <c r="E3" s="164" t="s">
        <v>263</v>
      </c>
      <c r="F3" s="164"/>
      <c r="G3" s="164"/>
      <c r="H3" s="164"/>
      <c r="I3" s="164"/>
      <c r="J3" s="164"/>
      <c r="K3" s="164"/>
      <c r="L3" s="164"/>
      <c r="M3" s="20"/>
      <c r="N3" s="21"/>
      <c r="O3" s="6"/>
      <c r="P3" s="6"/>
      <c r="Q3" s="7"/>
      <c r="R3" s="8"/>
      <c r="S3" s="8"/>
      <c r="T3" s="8"/>
      <c r="U3" s="8"/>
      <c r="V3" s="9"/>
      <c r="W3" s="10"/>
      <c r="AB3" s="15" t="s">
        <v>45</v>
      </c>
      <c r="AC3" s="16">
        <v>16.89</v>
      </c>
      <c r="AD3" s="16">
        <v>19.190000000000001</v>
      </c>
      <c r="AE3" s="16">
        <v>16.54</v>
      </c>
      <c r="AF3" s="16">
        <v>20.99</v>
      </c>
      <c r="AG3" s="16">
        <v>17.989999999999998</v>
      </c>
      <c r="AH3" s="16">
        <v>12.99</v>
      </c>
      <c r="AI3" s="16">
        <v>14.39</v>
      </c>
      <c r="AJ3" s="16">
        <v>16.14</v>
      </c>
      <c r="AK3" s="16">
        <v>13.14</v>
      </c>
      <c r="AL3" s="16">
        <v>14.64</v>
      </c>
      <c r="AM3" s="16">
        <v>18.34</v>
      </c>
      <c r="AN3" s="16">
        <v>19.09</v>
      </c>
      <c r="AO3" s="16">
        <v>18.239999999999998</v>
      </c>
      <c r="AP3" s="16">
        <v>19.690000000000001</v>
      </c>
      <c r="AQ3" s="16">
        <v>20.84</v>
      </c>
      <c r="AR3" s="16">
        <v>23.64</v>
      </c>
      <c r="AS3" s="16">
        <v>23.04</v>
      </c>
      <c r="AT3" s="16">
        <v>25.44</v>
      </c>
      <c r="AU3" s="16">
        <v>49.19</v>
      </c>
      <c r="AV3" s="16">
        <v>19.489999999999998</v>
      </c>
      <c r="AW3" s="16">
        <v>37.49</v>
      </c>
      <c r="AX3" s="16">
        <v>14.19</v>
      </c>
      <c r="AY3" s="16">
        <v>15.64</v>
      </c>
      <c r="AZ3" s="16">
        <v>14.19</v>
      </c>
      <c r="BA3" s="16">
        <v>21.69</v>
      </c>
      <c r="BB3" s="16">
        <v>21.69</v>
      </c>
      <c r="BD3" s="16">
        <v>23.54</v>
      </c>
      <c r="BE3" s="16">
        <v>21.29</v>
      </c>
      <c r="BF3" s="16">
        <v>22.44</v>
      </c>
      <c r="BG3" s="16">
        <v>20.84</v>
      </c>
      <c r="BH3" s="16">
        <v>24.34</v>
      </c>
      <c r="BI3" s="16">
        <v>22.59</v>
      </c>
      <c r="BJ3" s="16">
        <v>23.89</v>
      </c>
      <c r="BK3" s="16">
        <v>21.89</v>
      </c>
      <c r="BL3" s="16">
        <v>17.14</v>
      </c>
      <c r="BM3" s="16">
        <v>20.14</v>
      </c>
      <c r="BN3" s="16">
        <v>16.989999999999998</v>
      </c>
      <c r="BO3" s="16">
        <v>28.04</v>
      </c>
      <c r="BP3" s="16">
        <v>15.54</v>
      </c>
      <c r="BQ3" s="16">
        <v>18.29</v>
      </c>
      <c r="BR3" s="16">
        <v>10.039999999999999</v>
      </c>
      <c r="BS3" s="16">
        <v>13.89</v>
      </c>
      <c r="BT3" s="16">
        <v>17.09</v>
      </c>
      <c r="BU3" s="16">
        <v>14.64</v>
      </c>
      <c r="BV3" s="16">
        <v>16.940000000000001</v>
      </c>
      <c r="BW3" s="15" t="s">
        <v>43</v>
      </c>
      <c r="BX3" s="11" t="s">
        <v>42</v>
      </c>
      <c r="BZ3" s="11" t="s">
        <v>46</v>
      </c>
      <c r="CA3" s="15" t="s">
        <v>47</v>
      </c>
      <c r="CB3" s="11" t="s">
        <v>48</v>
      </c>
      <c r="CC3" s="11" t="s">
        <v>49</v>
      </c>
      <c r="CD3" s="17" t="s">
        <v>50</v>
      </c>
    </row>
    <row r="4" spans="1:82" ht="19.5" customHeight="1" x14ac:dyDescent="0.2">
      <c r="A4" s="12" t="s">
        <v>51</v>
      </c>
      <c r="B4" s="19" t="s">
        <v>262</v>
      </c>
      <c r="C4" s="3"/>
      <c r="D4" s="5"/>
      <c r="E4" s="164"/>
      <c r="F4" s="164"/>
      <c r="G4" s="164"/>
      <c r="H4" s="164"/>
      <c r="I4" s="164"/>
      <c r="J4" s="164"/>
      <c r="K4" s="164"/>
      <c r="L4" s="164"/>
      <c r="M4" s="20"/>
      <c r="N4" s="21"/>
      <c r="O4" s="6"/>
      <c r="P4" s="6"/>
      <c r="Q4" s="7"/>
      <c r="R4" s="8"/>
      <c r="S4" s="8"/>
      <c r="T4" s="8"/>
      <c r="U4" s="8"/>
      <c r="V4" s="9"/>
      <c r="W4" s="10"/>
      <c r="AB4" s="15" t="s">
        <v>52</v>
      </c>
      <c r="AC4" s="16">
        <v>16.89</v>
      </c>
      <c r="AD4" s="16">
        <v>19.190000000000001</v>
      </c>
      <c r="AE4" s="16">
        <v>16.54</v>
      </c>
      <c r="AF4" s="16">
        <v>20.99</v>
      </c>
      <c r="AG4" s="16">
        <v>17.989999999999998</v>
      </c>
      <c r="AH4" s="16">
        <v>12.99</v>
      </c>
      <c r="AI4" s="16">
        <v>14.39</v>
      </c>
      <c r="AJ4" s="16">
        <v>16.14</v>
      </c>
      <c r="AK4" s="16">
        <v>13.14</v>
      </c>
      <c r="AL4" s="16">
        <v>14.64</v>
      </c>
      <c r="AM4" s="16">
        <v>18.34</v>
      </c>
      <c r="AN4" s="16">
        <v>19.09</v>
      </c>
      <c r="AO4" s="16">
        <v>18.239999999999998</v>
      </c>
      <c r="AP4" s="16">
        <v>19.690000000000001</v>
      </c>
      <c r="AQ4" s="16">
        <v>20.84</v>
      </c>
      <c r="AR4" s="16">
        <v>23.64</v>
      </c>
      <c r="AS4" s="16">
        <v>23.04</v>
      </c>
      <c r="AT4" s="16">
        <v>25.44</v>
      </c>
      <c r="AU4" s="16">
        <v>49.19</v>
      </c>
      <c r="AV4" s="16">
        <v>19.489999999999998</v>
      </c>
      <c r="AW4" s="16">
        <v>37.49</v>
      </c>
      <c r="AX4" s="16">
        <v>14.19</v>
      </c>
      <c r="AY4" s="16">
        <v>15.64</v>
      </c>
      <c r="AZ4" s="16">
        <v>14.19</v>
      </c>
      <c r="BA4" s="16">
        <v>21.69</v>
      </c>
      <c r="BB4" s="16">
        <v>21.69</v>
      </c>
      <c r="BD4" s="16">
        <v>23.54</v>
      </c>
      <c r="BE4" s="16">
        <v>21.29</v>
      </c>
      <c r="BF4" s="16">
        <v>22.44</v>
      </c>
      <c r="BG4" s="16">
        <v>20.84</v>
      </c>
      <c r="BH4" s="16">
        <v>24.34</v>
      </c>
      <c r="BI4" s="16">
        <v>22.59</v>
      </c>
      <c r="BJ4" s="16">
        <v>23.89</v>
      </c>
      <c r="BK4" s="16">
        <v>21.89</v>
      </c>
      <c r="BL4" s="16">
        <v>17.14</v>
      </c>
      <c r="BM4" s="16">
        <v>20.14</v>
      </c>
      <c r="BN4" s="16">
        <v>16.989999999999998</v>
      </c>
      <c r="BO4" s="16">
        <v>28.04</v>
      </c>
      <c r="BP4" s="16">
        <v>15.54</v>
      </c>
      <c r="BQ4" s="16">
        <v>18.29</v>
      </c>
      <c r="BR4" s="16">
        <v>10.039999999999999</v>
      </c>
      <c r="BS4" s="16">
        <v>13.89</v>
      </c>
      <c r="BT4" s="16">
        <v>17.09</v>
      </c>
      <c r="BU4" s="16">
        <v>14.64</v>
      </c>
      <c r="BV4" s="16">
        <v>16.940000000000001</v>
      </c>
      <c r="BW4" s="15" t="s">
        <v>43</v>
      </c>
      <c r="BX4" s="11" t="s">
        <v>42</v>
      </c>
      <c r="CA4" s="15"/>
      <c r="CD4" s="17"/>
    </row>
    <row r="5" spans="1:82" ht="26.25" x14ac:dyDescent="0.2">
      <c r="A5" s="18" t="s">
        <v>53</v>
      </c>
      <c r="B5" s="19"/>
      <c r="C5" s="3"/>
      <c r="D5" s="5"/>
      <c r="E5" s="164"/>
      <c r="F5" s="164"/>
      <c r="G5" s="164"/>
      <c r="H5" s="164"/>
      <c r="I5" s="164"/>
      <c r="J5" s="164"/>
      <c r="K5" s="164"/>
      <c r="L5" s="164"/>
      <c r="M5" s="20"/>
      <c r="N5" s="21"/>
      <c r="O5" s="6"/>
      <c r="P5" s="6"/>
      <c r="Q5" s="7"/>
      <c r="R5" s="8"/>
      <c r="S5" s="8"/>
      <c r="T5" s="8"/>
      <c r="U5" s="8"/>
      <c r="V5" s="9"/>
      <c r="W5" s="10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CA5" s="15"/>
      <c r="CD5" s="17"/>
    </row>
    <row r="6" spans="1:82" ht="17.25" customHeight="1" thickBot="1" x14ac:dyDescent="0.25">
      <c r="A6" s="22" t="s">
        <v>54</v>
      </c>
      <c r="B6" s="13"/>
      <c r="C6" s="23"/>
      <c r="D6" s="5"/>
      <c r="E6" s="164"/>
      <c r="F6" s="164"/>
      <c r="G6" s="164"/>
      <c r="H6" s="164"/>
      <c r="I6" s="164"/>
      <c r="J6" s="164"/>
      <c r="K6" s="164"/>
      <c r="L6" s="164"/>
      <c r="M6" s="5"/>
      <c r="N6" s="5"/>
      <c r="O6" s="6"/>
      <c r="P6" s="6"/>
      <c r="Q6" s="7"/>
      <c r="R6" s="8"/>
      <c r="S6" s="8"/>
      <c r="T6" s="8"/>
      <c r="U6" s="8"/>
      <c r="V6" s="9"/>
      <c r="W6" s="10"/>
      <c r="BZ6" s="15" t="s">
        <v>55</v>
      </c>
      <c r="CA6" s="15" t="s">
        <v>56</v>
      </c>
      <c r="CB6" s="15" t="s">
        <v>57</v>
      </c>
      <c r="CC6" s="15" t="s">
        <v>58</v>
      </c>
      <c r="CD6" s="17" t="s">
        <v>59</v>
      </c>
    </row>
    <row r="7" spans="1:82" ht="24.75" customHeight="1" thickBot="1" x14ac:dyDescent="0.25">
      <c r="A7" s="22" t="s">
        <v>60</v>
      </c>
      <c r="B7" s="13"/>
      <c r="C7" s="24"/>
      <c r="D7" s="25"/>
      <c r="E7" s="165" t="s">
        <v>61</v>
      </c>
      <c r="F7" s="166"/>
      <c r="G7" s="166"/>
      <c r="H7" s="166"/>
      <c r="I7" s="167">
        <v>42552</v>
      </c>
      <c r="J7" s="168"/>
      <c r="K7" s="168"/>
      <c r="L7" s="26"/>
      <c r="M7" s="5"/>
      <c r="N7" s="5"/>
      <c r="O7" s="169" t="s">
        <v>62</v>
      </c>
      <c r="P7" s="169"/>
      <c r="Q7" s="169"/>
      <c r="R7" s="170" t="s">
        <v>41</v>
      </c>
      <c r="S7" s="171"/>
      <c r="T7" s="162" t="s">
        <v>63</v>
      </c>
      <c r="U7" s="163"/>
      <c r="V7" s="163"/>
      <c r="W7" s="10"/>
    </row>
    <row r="8" spans="1:82" ht="33.75" customHeight="1" x14ac:dyDescent="0.2">
      <c r="A8" s="27"/>
      <c r="B8" s="28"/>
      <c r="C8" s="172" t="s">
        <v>286</v>
      </c>
      <c r="D8" s="173"/>
      <c r="E8" s="174" t="s">
        <v>64</v>
      </c>
      <c r="F8" s="175"/>
      <c r="G8" s="175"/>
      <c r="H8" s="175"/>
      <c r="I8" s="176">
        <v>42916</v>
      </c>
      <c r="J8" s="177"/>
      <c r="K8" s="177"/>
      <c r="L8" s="29"/>
      <c r="M8" s="178" t="s">
        <v>288</v>
      </c>
      <c r="N8" s="178"/>
      <c r="O8" s="178"/>
      <c r="P8" s="178"/>
      <c r="Q8" s="178"/>
      <c r="R8" s="179"/>
      <c r="S8" s="30">
        <v>0.45300000000000001</v>
      </c>
      <c r="T8" s="163"/>
      <c r="U8" s="163"/>
      <c r="V8" s="163"/>
      <c r="W8" s="10"/>
    </row>
    <row r="9" spans="1:82" ht="53.25" customHeight="1" x14ac:dyDescent="0.2">
      <c r="A9" s="145" t="s">
        <v>292</v>
      </c>
      <c r="B9" s="28"/>
      <c r="C9" s="180" t="s">
        <v>65</v>
      </c>
      <c r="D9" s="181"/>
      <c r="E9" s="181"/>
      <c r="F9" s="181"/>
      <c r="G9" s="181"/>
      <c r="H9" s="181"/>
      <c r="I9" s="182"/>
      <c r="J9" s="182"/>
      <c r="K9" s="182"/>
      <c r="L9" s="183" t="s">
        <v>66</v>
      </c>
      <c r="M9" s="184"/>
      <c r="N9" s="184"/>
      <c r="O9" s="184"/>
      <c r="P9" s="184"/>
      <c r="Q9" s="185"/>
      <c r="R9" s="186" t="s">
        <v>67</v>
      </c>
      <c r="S9" s="187"/>
      <c r="T9" s="188" t="s">
        <v>68</v>
      </c>
      <c r="U9" s="188"/>
      <c r="V9" s="188"/>
      <c r="W9" s="189" t="s">
        <v>69</v>
      </c>
    </row>
    <row r="10" spans="1:82" s="143" customFormat="1" ht="86.25" customHeight="1" x14ac:dyDescent="0.2">
      <c r="A10" s="192" t="s">
        <v>70</v>
      </c>
      <c r="B10" s="194" t="s">
        <v>71</v>
      </c>
      <c r="C10" s="196" t="s">
        <v>269</v>
      </c>
      <c r="D10" s="196" t="s">
        <v>72</v>
      </c>
      <c r="E10" s="192" t="s">
        <v>73</v>
      </c>
      <c r="F10" s="196" t="s">
        <v>74</v>
      </c>
      <c r="G10" s="192" t="s">
        <v>75</v>
      </c>
      <c r="H10" s="192" t="s">
        <v>76</v>
      </c>
      <c r="I10" s="192" t="s">
        <v>77</v>
      </c>
      <c r="J10" s="196" t="s">
        <v>78</v>
      </c>
      <c r="K10" s="196" t="s">
        <v>79</v>
      </c>
      <c r="L10" s="200" t="s">
        <v>80</v>
      </c>
      <c r="M10" s="202" t="str">
        <f>IF(ISNA(VLOOKUP($R$7,$AB$2:$BY$4,48,)),"", (VLOOKUP($R$7,$AB$2:$BY$4,48,)))</f>
        <v>Maximum Distributor allowance to be taken</v>
      </c>
      <c r="N10" s="202" t="str">
        <f>IF(ISNA(VLOOKUP($R$7,$AB$2:$BY$4,49,)),"", (VLOOKUP($R$7,$AB$2:$BY$4,49,)))</f>
        <v>FOB Indiana K12 Bid Price list</v>
      </c>
      <c r="O10" s="155" t="s">
        <v>81</v>
      </c>
      <c r="P10" s="210" t="s">
        <v>82</v>
      </c>
      <c r="Q10" s="155" t="s">
        <v>83</v>
      </c>
      <c r="R10" s="212" t="s">
        <v>287</v>
      </c>
      <c r="S10" s="204" t="s">
        <v>84</v>
      </c>
      <c r="T10" s="198" t="s">
        <v>85</v>
      </c>
      <c r="U10" s="204" t="s">
        <v>86</v>
      </c>
      <c r="V10" s="198" t="s">
        <v>87</v>
      </c>
      <c r="W10" s="190"/>
    </row>
    <row r="11" spans="1:82" ht="35.25" customHeight="1" x14ac:dyDescent="0.2">
      <c r="A11" s="193"/>
      <c r="B11" s="195"/>
      <c r="C11" s="197"/>
      <c r="D11" s="197"/>
      <c r="E11" s="193"/>
      <c r="F11" s="197"/>
      <c r="G11" s="193"/>
      <c r="H11" s="193"/>
      <c r="I11" s="193"/>
      <c r="J11" s="197"/>
      <c r="K11" s="197"/>
      <c r="L11" s="201"/>
      <c r="M11" s="203"/>
      <c r="N11" s="203"/>
      <c r="O11" s="31">
        <v>0</v>
      </c>
      <c r="P11" s="211"/>
      <c r="Q11" s="31">
        <v>0</v>
      </c>
      <c r="R11" s="213"/>
      <c r="S11" s="205"/>
      <c r="T11" s="199"/>
      <c r="U11" s="205"/>
      <c r="V11" s="199"/>
      <c r="W11" s="191"/>
    </row>
    <row r="12" spans="1:82" ht="15" customHeight="1" x14ac:dyDescent="0.2">
      <c r="A12" s="206" t="s">
        <v>299</v>
      </c>
      <c r="B12" s="207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  <c r="W12" s="10"/>
    </row>
    <row r="13" spans="1:82" ht="15" customHeight="1" x14ac:dyDescent="0.2">
      <c r="A13" s="32" t="s">
        <v>88</v>
      </c>
      <c r="B13" s="33" t="s">
        <v>1</v>
      </c>
      <c r="C13" s="34" t="s">
        <v>89</v>
      </c>
      <c r="D13" s="35" t="s">
        <v>90</v>
      </c>
      <c r="E13" s="35" t="s">
        <v>91</v>
      </c>
      <c r="F13" s="36">
        <v>6</v>
      </c>
      <c r="G13" s="33">
        <v>49</v>
      </c>
      <c r="H13" s="37">
        <v>43.13</v>
      </c>
      <c r="I13" s="38">
        <v>1</v>
      </c>
      <c r="J13" s="33" t="s">
        <v>92</v>
      </c>
      <c r="K13" s="39" t="s">
        <v>93</v>
      </c>
      <c r="L13" s="40">
        <v>18.350000000000001</v>
      </c>
      <c r="M13" s="120">
        <f>IF(ISNA(VLOOKUP($R$7,$AB$2:$BS$4,2,)),"", (VLOOKUP($R$7,$AB$2:$BS$4,2,)))</f>
        <v>0.51</v>
      </c>
      <c r="N13" s="42">
        <f t="shared" ref="N13:N26" si="0">L13-M13</f>
        <v>17.84</v>
      </c>
      <c r="O13" s="43">
        <f t="shared" ref="O13:O26" si="1">(G13*$O$11/100)</f>
        <v>0</v>
      </c>
      <c r="P13" s="44">
        <f t="shared" ref="P13:P26" si="2">IF(M13&gt;5,M13+O13,N13+O13)</f>
        <v>17.84</v>
      </c>
      <c r="Q13" s="45">
        <f t="shared" ref="Q13:Q26" si="3">IF(M13&gt;5,(M13+($Q$11*G13/100)),(N13+($Q$11*G13/100)))</f>
        <v>17.84</v>
      </c>
      <c r="R13" s="46">
        <f>SUM(S13*$S$8)</f>
        <v>4.4439299999999999</v>
      </c>
      <c r="S13" s="150">
        <v>9.81</v>
      </c>
      <c r="T13" s="46">
        <f>P13-R13</f>
        <v>13.39607</v>
      </c>
      <c r="U13" s="46">
        <f t="shared" ref="U13:U26" si="4">T13/F13</f>
        <v>2.2326783333333333</v>
      </c>
      <c r="V13" s="47">
        <f>Q13-R13</f>
        <v>13.39607</v>
      </c>
      <c r="W13" s="10"/>
    </row>
    <row r="14" spans="1:82" ht="15" customHeight="1" x14ac:dyDescent="0.2">
      <c r="A14" s="48" t="s">
        <v>94</v>
      </c>
      <c r="B14" s="49" t="s">
        <v>2</v>
      </c>
      <c r="C14" s="50" t="s">
        <v>95</v>
      </c>
      <c r="D14" s="158" t="s">
        <v>90</v>
      </c>
      <c r="E14" s="158" t="s">
        <v>96</v>
      </c>
      <c r="F14" s="52">
        <v>6</v>
      </c>
      <c r="G14" s="49">
        <v>49</v>
      </c>
      <c r="H14" s="53">
        <v>42.75</v>
      </c>
      <c r="I14" s="54">
        <v>1</v>
      </c>
      <c r="J14" s="49" t="s">
        <v>92</v>
      </c>
      <c r="K14" s="55" t="s">
        <v>93</v>
      </c>
      <c r="L14" s="56">
        <v>21</v>
      </c>
      <c r="M14" s="120">
        <f>IF(ISNA(VLOOKUP($R$7,$AB$2:$BS$4,3,)),"", (VLOOKUP($R$7,$AB$2:$BS$4,3,)))</f>
        <v>0.51</v>
      </c>
      <c r="N14" s="57">
        <f t="shared" si="0"/>
        <v>20.49</v>
      </c>
      <c r="O14" s="43">
        <f t="shared" si="1"/>
        <v>0</v>
      </c>
      <c r="P14" s="44">
        <f t="shared" si="2"/>
        <v>20.49</v>
      </c>
      <c r="Q14" s="45">
        <f t="shared" si="3"/>
        <v>20.49</v>
      </c>
      <c r="R14" s="46">
        <f t="shared" ref="R14:R58" si="5">SUM(S14*$S$8)</f>
        <v>4.7066700000000008</v>
      </c>
      <c r="S14" s="150">
        <v>10.39</v>
      </c>
      <c r="T14" s="46">
        <f t="shared" ref="T14:T58" si="6">P14-R14</f>
        <v>15.783329999999998</v>
      </c>
      <c r="U14" s="46">
        <f t="shared" si="4"/>
        <v>2.6305549999999998</v>
      </c>
      <c r="V14" s="47">
        <f t="shared" ref="V14:V58" si="7">Q14-R14</f>
        <v>15.783329999999998</v>
      </c>
      <c r="W14" s="10"/>
    </row>
    <row r="15" spans="1:82" ht="15" customHeight="1" x14ac:dyDescent="0.2">
      <c r="A15" s="58" t="s">
        <v>97</v>
      </c>
      <c r="B15" s="59" t="s">
        <v>3</v>
      </c>
      <c r="C15" s="60" t="s">
        <v>98</v>
      </c>
      <c r="D15" s="158" t="s">
        <v>99</v>
      </c>
      <c r="E15" s="158" t="s">
        <v>96</v>
      </c>
      <c r="F15" s="52">
        <v>6</v>
      </c>
      <c r="G15" s="59">
        <v>45</v>
      </c>
      <c r="H15" s="61">
        <v>42.75</v>
      </c>
      <c r="I15" s="62">
        <v>1</v>
      </c>
      <c r="J15" s="59" t="s">
        <v>92</v>
      </c>
      <c r="K15" s="55" t="s">
        <v>93</v>
      </c>
      <c r="L15" s="56">
        <v>17.399999999999999</v>
      </c>
      <c r="M15" s="120">
        <f>IF(ISNA(VLOOKUP($R$7,$AB$2:$BS$4,4,)),"", (VLOOKUP($R$7,$AB$2:$BS$4,4,)))</f>
        <v>0.51</v>
      </c>
      <c r="N15" s="57">
        <f t="shared" si="0"/>
        <v>16.889999999999997</v>
      </c>
      <c r="O15" s="43">
        <f t="shared" si="1"/>
        <v>0</v>
      </c>
      <c r="P15" s="44">
        <f t="shared" si="2"/>
        <v>16.889999999999997</v>
      </c>
      <c r="Q15" s="45">
        <f t="shared" si="3"/>
        <v>16.889999999999997</v>
      </c>
      <c r="R15" s="46">
        <f t="shared" si="5"/>
        <v>4.4031600000000006</v>
      </c>
      <c r="S15" s="150">
        <v>9.7200000000000006</v>
      </c>
      <c r="T15" s="46">
        <f t="shared" si="6"/>
        <v>12.486839999999997</v>
      </c>
      <c r="U15" s="46">
        <f t="shared" si="4"/>
        <v>2.0811399999999995</v>
      </c>
      <c r="V15" s="47">
        <f t="shared" si="7"/>
        <v>12.486839999999997</v>
      </c>
      <c r="W15" s="10"/>
    </row>
    <row r="16" spans="1:82" ht="15" customHeight="1" x14ac:dyDescent="0.2">
      <c r="A16" s="58" t="s">
        <v>100</v>
      </c>
      <c r="B16" s="63" t="s">
        <v>4</v>
      </c>
      <c r="C16" s="60" t="s">
        <v>101</v>
      </c>
      <c r="D16" s="59" t="s">
        <v>102</v>
      </c>
      <c r="E16" s="59" t="s">
        <v>96</v>
      </c>
      <c r="F16" s="49">
        <v>6</v>
      </c>
      <c r="G16" s="59">
        <v>48</v>
      </c>
      <c r="H16" s="61">
        <v>42.75</v>
      </c>
      <c r="I16" s="62">
        <v>1</v>
      </c>
      <c r="J16" s="59" t="s">
        <v>103</v>
      </c>
      <c r="K16" s="55" t="s">
        <v>93</v>
      </c>
      <c r="L16" s="56">
        <v>21.55</v>
      </c>
      <c r="M16" s="120">
        <f>IF(ISNA(VLOOKUP($R$7,$AB$2:$BS$4,5,)),"", (VLOOKUP($R$7,$AB$2:$BS$4,5,)))</f>
        <v>0.26</v>
      </c>
      <c r="N16" s="57">
        <f t="shared" si="0"/>
        <v>21.29</v>
      </c>
      <c r="O16" s="43">
        <f t="shared" si="1"/>
        <v>0</v>
      </c>
      <c r="P16" s="44">
        <f t="shared" si="2"/>
        <v>21.29</v>
      </c>
      <c r="Q16" s="45">
        <f t="shared" si="3"/>
        <v>21.29</v>
      </c>
      <c r="R16" s="46">
        <f t="shared" si="5"/>
        <v>4.4031600000000006</v>
      </c>
      <c r="S16" s="150">
        <v>9.7200000000000006</v>
      </c>
      <c r="T16" s="46">
        <f t="shared" si="6"/>
        <v>16.886839999999999</v>
      </c>
      <c r="U16" s="46">
        <f t="shared" si="4"/>
        <v>2.8144733333333334</v>
      </c>
      <c r="V16" s="47">
        <f t="shared" si="7"/>
        <v>16.886839999999999</v>
      </c>
      <c r="W16" s="10"/>
    </row>
    <row r="17" spans="1:23" ht="15" customHeight="1" x14ac:dyDescent="0.2">
      <c r="A17" s="58" t="s">
        <v>104</v>
      </c>
      <c r="B17" s="63" t="s">
        <v>5</v>
      </c>
      <c r="C17" s="60" t="s">
        <v>105</v>
      </c>
      <c r="D17" s="59" t="s">
        <v>106</v>
      </c>
      <c r="E17" s="59" t="s">
        <v>107</v>
      </c>
      <c r="F17" s="49">
        <v>9</v>
      </c>
      <c r="G17" s="59">
        <v>41</v>
      </c>
      <c r="H17" s="61">
        <v>36</v>
      </c>
      <c r="I17" s="62">
        <v>1.35</v>
      </c>
      <c r="J17" s="59" t="s">
        <v>108</v>
      </c>
      <c r="K17" s="55" t="s">
        <v>109</v>
      </c>
      <c r="L17" s="56">
        <v>18.600000000000001</v>
      </c>
      <c r="M17" s="120">
        <f>IF(ISNA(VLOOKUP($R$7,$AB$2:$BS$4,6,)),"", (VLOOKUP($R$7,$AB$2:$BS$4,6,)))</f>
        <v>0.51</v>
      </c>
      <c r="N17" s="57">
        <f t="shared" si="0"/>
        <v>18.09</v>
      </c>
      <c r="O17" s="43">
        <f t="shared" si="1"/>
        <v>0</v>
      </c>
      <c r="P17" s="44">
        <f t="shared" si="2"/>
        <v>18.09</v>
      </c>
      <c r="Q17" s="45">
        <f t="shared" si="3"/>
        <v>18.09</v>
      </c>
      <c r="R17" s="46">
        <f t="shared" si="5"/>
        <v>3.7281900000000001</v>
      </c>
      <c r="S17" s="150">
        <v>8.23</v>
      </c>
      <c r="T17" s="46">
        <f t="shared" si="6"/>
        <v>14.36181</v>
      </c>
      <c r="U17" s="46">
        <f t="shared" si="4"/>
        <v>1.5957566666666667</v>
      </c>
      <c r="V17" s="47">
        <f t="shared" si="7"/>
        <v>14.36181</v>
      </c>
      <c r="W17" s="10"/>
    </row>
    <row r="18" spans="1:23" ht="15" customHeight="1" x14ac:dyDescent="0.2">
      <c r="A18" s="58" t="s">
        <v>110</v>
      </c>
      <c r="B18" s="59" t="s">
        <v>6</v>
      </c>
      <c r="C18" s="60" t="s">
        <v>111</v>
      </c>
      <c r="D18" s="59" t="s">
        <v>112</v>
      </c>
      <c r="E18" s="59" t="s">
        <v>113</v>
      </c>
      <c r="F18" s="49">
        <v>1</v>
      </c>
      <c r="G18" s="59">
        <v>31</v>
      </c>
      <c r="H18" s="61">
        <v>28.5</v>
      </c>
      <c r="I18" s="62">
        <v>0.56000000000000005</v>
      </c>
      <c r="J18" s="59" t="s">
        <v>114</v>
      </c>
      <c r="K18" s="55" t="s">
        <v>115</v>
      </c>
      <c r="L18" s="56">
        <v>13.9</v>
      </c>
      <c r="M18" s="120">
        <f>IF(ISNA(VLOOKUP($R$7,$AB$2:$BS$4,7,)),"", (VLOOKUP($R$7,$AB$2:$BS$4,7,)))</f>
        <v>0.26</v>
      </c>
      <c r="N18" s="57">
        <f t="shared" si="0"/>
        <v>13.64</v>
      </c>
      <c r="O18" s="43">
        <f t="shared" si="1"/>
        <v>0</v>
      </c>
      <c r="P18" s="44">
        <f t="shared" si="2"/>
        <v>13.64</v>
      </c>
      <c r="Q18" s="45">
        <f t="shared" si="3"/>
        <v>13.64</v>
      </c>
      <c r="R18" s="46">
        <f t="shared" si="5"/>
        <v>2.9354400000000003</v>
      </c>
      <c r="S18" s="150">
        <v>6.48</v>
      </c>
      <c r="T18" s="46">
        <f t="shared" si="6"/>
        <v>10.704560000000001</v>
      </c>
      <c r="U18" s="46">
        <f t="shared" si="4"/>
        <v>10.704560000000001</v>
      </c>
      <c r="V18" s="47">
        <f t="shared" si="7"/>
        <v>10.704560000000001</v>
      </c>
      <c r="W18" s="10"/>
    </row>
    <row r="19" spans="1:23" ht="15" customHeight="1" x14ac:dyDescent="0.2">
      <c r="A19" s="58" t="s">
        <v>116</v>
      </c>
      <c r="B19" s="59" t="s">
        <v>7</v>
      </c>
      <c r="C19" s="60" t="s">
        <v>117</v>
      </c>
      <c r="D19" s="59" t="s">
        <v>112</v>
      </c>
      <c r="E19" s="59" t="s">
        <v>113</v>
      </c>
      <c r="F19" s="49">
        <v>1</v>
      </c>
      <c r="G19" s="59">
        <v>31</v>
      </c>
      <c r="H19" s="61">
        <v>28.5</v>
      </c>
      <c r="I19" s="62">
        <v>0.56000000000000005</v>
      </c>
      <c r="J19" s="59" t="s">
        <v>114</v>
      </c>
      <c r="K19" s="55" t="s">
        <v>118</v>
      </c>
      <c r="L19" s="56">
        <v>16</v>
      </c>
      <c r="M19" s="120">
        <f>IF(ISNA(VLOOKUP($R$7,$AB$2:$BS$4,8,)),"", (VLOOKUP($R$7,$AB$2:$BS$4,8,)))</f>
        <v>0.51</v>
      </c>
      <c r="N19" s="57">
        <f t="shared" si="0"/>
        <v>15.49</v>
      </c>
      <c r="O19" s="43">
        <f t="shared" si="1"/>
        <v>0</v>
      </c>
      <c r="P19" s="44">
        <f t="shared" si="2"/>
        <v>15.49</v>
      </c>
      <c r="Q19" s="45">
        <f t="shared" si="3"/>
        <v>15.49</v>
      </c>
      <c r="R19" s="46">
        <f t="shared" si="5"/>
        <v>3.1392899999999999</v>
      </c>
      <c r="S19" s="150">
        <v>6.93</v>
      </c>
      <c r="T19" s="46">
        <f t="shared" si="6"/>
        <v>12.350709999999999</v>
      </c>
      <c r="U19" s="46">
        <f t="shared" si="4"/>
        <v>12.350709999999999</v>
      </c>
      <c r="V19" s="47">
        <f t="shared" si="7"/>
        <v>12.350709999999999</v>
      </c>
      <c r="W19" s="10"/>
    </row>
    <row r="20" spans="1:23" ht="15" customHeight="1" x14ac:dyDescent="0.2">
      <c r="A20" s="58" t="s">
        <v>119</v>
      </c>
      <c r="B20" s="59" t="s">
        <v>8</v>
      </c>
      <c r="C20" s="126" t="s">
        <v>261</v>
      </c>
      <c r="D20" s="158" t="s">
        <v>120</v>
      </c>
      <c r="E20" s="158" t="s">
        <v>121</v>
      </c>
      <c r="F20" s="52">
        <v>3</v>
      </c>
      <c r="G20" s="59">
        <v>45</v>
      </c>
      <c r="H20" s="61">
        <v>43.5</v>
      </c>
      <c r="I20" s="62">
        <v>0.9</v>
      </c>
      <c r="J20" s="59" t="s">
        <v>122</v>
      </c>
      <c r="K20" s="55" t="s">
        <v>123</v>
      </c>
      <c r="L20" s="56">
        <v>16.649999999999999</v>
      </c>
      <c r="M20" s="120">
        <f>IF(ISNA(VLOOKUP($R$7,$AB$2:$BS$4,9,)),"", (VLOOKUP($R$7,$AB$2:$BS$4,9,)))</f>
        <v>0.51</v>
      </c>
      <c r="N20" s="57">
        <f t="shared" si="0"/>
        <v>16.139999999999997</v>
      </c>
      <c r="O20" s="43">
        <f t="shared" si="1"/>
        <v>0</v>
      </c>
      <c r="P20" s="44">
        <f t="shared" si="2"/>
        <v>16.139999999999997</v>
      </c>
      <c r="Q20" s="45">
        <f t="shared" si="3"/>
        <v>16.139999999999997</v>
      </c>
      <c r="R20" s="46">
        <f t="shared" si="5"/>
        <v>4.4801700000000002</v>
      </c>
      <c r="S20" s="150">
        <v>9.89</v>
      </c>
      <c r="T20" s="46">
        <f t="shared" si="6"/>
        <v>11.659829999999996</v>
      </c>
      <c r="U20" s="46">
        <f t="shared" si="4"/>
        <v>3.8866099999999988</v>
      </c>
      <c r="V20" s="47">
        <f t="shared" si="7"/>
        <v>11.659829999999996</v>
      </c>
      <c r="W20" s="10"/>
    </row>
    <row r="21" spans="1:23" ht="15" customHeight="1" x14ac:dyDescent="0.2">
      <c r="A21" s="32" t="s">
        <v>127</v>
      </c>
      <c r="B21" s="33" t="s">
        <v>11</v>
      </c>
      <c r="C21" s="34" t="s">
        <v>128</v>
      </c>
      <c r="D21" s="33" t="s">
        <v>129</v>
      </c>
      <c r="E21" s="33" t="s">
        <v>130</v>
      </c>
      <c r="F21" s="33">
        <v>1000</v>
      </c>
      <c r="G21" s="33">
        <v>23</v>
      </c>
      <c r="H21" s="37">
        <v>19.84</v>
      </c>
      <c r="I21" s="38">
        <v>0.8</v>
      </c>
      <c r="J21" s="33" t="s">
        <v>131</v>
      </c>
      <c r="K21" s="39" t="s">
        <v>132</v>
      </c>
      <c r="L21" s="40">
        <v>15.05</v>
      </c>
      <c r="M21" s="120">
        <f>IF(ISNA(VLOOKUP($R$7,$AB$2:$BS$4,10,)),"", (VLOOKUP($R$7,$AB$2:$BS$4,10,)))</f>
        <v>0.26</v>
      </c>
      <c r="N21" s="42">
        <f t="shared" si="0"/>
        <v>14.790000000000001</v>
      </c>
      <c r="O21" s="43">
        <f t="shared" si="1"/>
        <v>0</v>
      </c>
      <c r="P21" s="44">
        <f t="shared" si="2"/>
        <v>14.790000000000001</v>
      </c>
      <c r="Q21" s="45">
        <f t="shared" si="3"/>
        <v>14.790000000000001</v>
      </c>
      <c r="R21" s="46">
        <f t="shared" si="5"/>
        <v>1.90713</v>
      </c>
      <c r="S21" s="150">
        <v>4.21</v>
      </c>
      <c r="T21" s="46">
        <f t="shared" si="6"/>
        <v>12.88287</v>
      </c>
      <c r="U21" s="46">
        <f t="shared" si="4"/>
        <v>1.2882870000000001E-2</v>
      </c>
      <c r="V21" s="47">
        <f t="shared" si="7"/>
        <v>12.88287</v>
      </c>
      <c r="W21" s="10"/>
    </row>
    <row r="22" spans="1:23" ht="15" customHeight="1" x14ac:dyDescent="0.2">
      <c r="A22" s="48" t="s">
        <v>133</v>
      </c>
      <c r="B22" s="49" t="s">
        <v>12</v>
      </c>
      <c r="C22" s="50" t="s">
        <v>134</v>
      </c>
      <c r="D22" s="59" t="s">
        <v>129</v>
      </c>
      <c r="E22" s="59" t="s">
        <v>130</v>
      </c>
      <c r="F22" s="49">
        <v>1000</v>
      </c>
      <c r="G22" s="49">
        <v>23</v>
      </c>
      <c r="H22" s="53">
        <v>19.84</v>
      </c>
      <c r="I22" s="65">
        <v>0.8</v>
      </c>
      <c r="J22" s="49" t="s">
        <v>131</v>
      </c>
      <c r="K22" s="66" t="s">
        <v>132</v>
      </c>
      <c r="L22" s="56">
        <v>17.149999999999999</v>
      </c>
      <c r="M22" s="120">
        <f>IF(ISNA(VLOOKUP($R$7,$AB$2:$BS$4,11,)),"", (VLOOKUP($R$7,$AB$2:$BS$4,11,)))</f>
        <v>0.51</v>
      </c>
      <c r="N22" s="57">
        <f t="shared" si="0"/>
        <v>16.639999999999997</v>
      </c>
      <c r="O22" s="43">
        <f t="shared" si="1"/>
        <v>0</v>
      </c>
      <c r="P22" s="44">
        <f t="shared" si="2"/>
        <v>16.639999999999997</v>
      </c>
      <c r="Q22" s="45">
        <f t="shared" si="3"/>
        <v>16.639999999999997</v>
      </c>
      <c r="R22" s="46">
        <f t="shared" si="5"/>
        <v>2.1789299999999998</v>
      </c>
      <c r="S22" s="150">
        <v>4.8099999999999996</v>
      </c>
      <c r="T22" s="46">
        <f t="shared" si="6"/>
        <v>14.461069999999998</v>
      </c>
      <c r="U22" s="46">
        <f t="shared" si="4"/>
        <v>1.4461069999999998E-2</v>
      </c>
      <c r="V22" s="47">
        <f t="shared" si="7"/>
        <v>14.461069999999998</v>
      </c>
      <c r="W22" s="10"/>
    </row>
    <row r="23" spans="1:23" ht="15" customHeight="1" x14ac:dyDescent="0.2">
      <c r="A23" s="58" t="s">
        <v>135</v>
      </c>
      <c r="B23" s="59" t="s">
        <v>13</v>
      </c>
      <c r="C23" s="126" t="s">
        <v>253</v>
      </c>
      <c r="D23" s="59" t="s">
        <v>136</v>
      </c>
      <c r="E23" s="59" t="s">
        <v>137</v>
      </c>
      <c r="F23" s="59">
        <v>250</v>
      </c>
      <c r="G23" s="59">
        <v>18</v>
      </c>
      <c r="H23" s="61">
        <v>15.63</v>
      </c>
      <c r="I23" s="62">
        <v>0.6</v>
      </c>
      <c r="J23" s="59" t="s">
        <v>138</v>
      </c>
      <c r="K23" s="55" t="s">
        <v>139</v>
      </c>
      <c r="L23" s="67">
        <v>18.600000000000001</v>
      </c>
      <c r="M23" s="120">
        <f>IF(ISNA(VLOOKUP($R$7,$AB$2:$BS$4,12,)),"", (VLOOKUP($R$7,$AB$2:$BS$4,12,)))</f>
        <v>0.26</v>
      </c>
      <c r="N23" s="57">
        <f t="shared" si="0"/>
        <v>18.34</v>
      </c>
      <c r="O23" s="43">
        <f t="shared" si="1"/>
        <v>0</v>
      </c>
      <c r="P23" s="44">
        <f t="shared" si="2"/>
        <v>18.34</v>
      </c>
      <c r="Q23" s="45">
        <f t="shared" si="3"/>
        <v>18.34</v>
      </c>
      <c r="R23" s="46">
        <f t="shared" si="5"/>
        <v>1.6126800000000001</v>
      </c>
      <c r="S23" s="150">
        <v>3.56</v>
      </c>
      <c r="T23" s="46">
        <f t="shared" si="6"/>
        <v>16.727319999999999</v>
      </c>
      <c r="U23" s="46">
        <f t="shared" si="4"/>
        <v>6.6909280000000002E-2</v>
      </c>
      <c r="V23" s="47">
        <f t="shared" si="7"/>
        <v>16.727319999999999</v>
      </c>
      <c r="W23" s="10"/>
    </row>
    <row r="24" spans="1:23" ht="15" customHeight="1" x14ac:dyDescent="0.2">
      <c r="A24" s="58" t="s">
        <v>140</v>
      </c>
      <c r="B24" s="59" t="s">
        <v>14</v>
      </c>
      <c r="C24" s="126" t="s">
        <v>254</v>
      </c>
      <c r="D24" s="59" t="s">
        <v>136</v>
      </c>
      <c r="E24" s="59" t="s">
        <v>137</v>
      </c>
      <c r="F24" s="59">
        <v>250</v>
      </c>
      <c r="G24" s="59">
        <v>18</v>
      </c>
      <c r="H24" s="61">
        <v>15.63</v>
      </c>
      <c r="I24" s="62">
        <v>0.6</v>
      </c>
      <c r="J24" s="59" t="s">
        <v>138</v>
      </c>
      <c r="K24" s="55" t="s">
        <v>139</v>
      </c>
      <c r="L24" s="67">
        <v>19.350000000000001</v>
      </c>
      <c r="M24" s="120">
        <f>IF(ISNA(VLOOKUP($R$7,$AB$2:$BS$4,13,)),"", (VLOOKUP($R$7,$AB$2:$BS$4,13,)))</f>
        <v>0.26</v>
      </c>
      <c r="N24" s="57">
        <f t="shared" si="0"/>
        <v>19.09</v>
      </c>
      <c r="O24" s="43">
        <f t="shared" si="1"/>
        <v>0</v>
      </c>
      <c r="P24" s="44">
        <f t="shared" si="2"/>
        <v>19.09</v>
      </c>
      <c r="Q24" s="45">
        <f t="shared" si="3"/>
        <v>19.09</v>
      </c>
      <c r="R24" s="46">
        <f t="shared" si="5"/>
        <v>2.0294400000000001</v>
      </c>
      <c r="S24" s="150">
        <v>4.4800000000000004</v>
      </c>
      <c r="T24" s="46">
        <f t="shared" si="6"/>
        <v>17.060559999999999</v>
      </c>
      <c r="U24" s="46">
        <f t="shared" si="4"/>
        <v>6.8242239999999996E-2</v>
      </c>
      <c r="V24" s="47">
        <f t="shared" si="7"/>
        <v>17.060559999999999</v>
      </c>
      <c r="W24" s="10"/>
    </row>
    <row r="25" spans="1:23" ht="15" customHeight="1" x14ac:dyDescent="0.2">
      <c r="A25" s="58" t="s">
        <v>141</v>
      </c>
      <c r="B25" s="68" t="s">
        <v>142</v>
      </c>
      <c r="C25" s="126" t="s">
        <v>255</v>
      </c>
      <c r="D25" s="59" t="s">
        <v>143</v>
      </c>
      <c r="E25" s="59" t="s">
        <v>144</v>
      </c>
      <c r="F25" s="59">
        <v>12</v>
      </c>
      <c r="G25" s="59">
        <v>18</v>
      </c>
      <c r="H25" s="61">
        <v>15</v>
      </c>
      <c r="I25" s="62">
        <v>0.49</v>
      </c>
      <c r="J25" s="59" t="s">
        <v>145</v>
      </c>
      <c r="K25" s="55" t="s">
        <v>146</v>
      </c>
      <c r="L25" s="67">
        <v>18.5</v>
      </c>
      <c r="M25" s="120">
        <f>IF(ISNA(VLOOKUP($R$7,$AB$2:$BS$4,14,)),"", (VLOOKUP($R$7,$AB$2:$BS$4,14,)))</f>
        <v>0.26</v>
      </c>
      <c r="N25" s="57">
        <f t="shared" si="0"/>
        <v>18.239999999999998</v>
      </c>
      <c r="O25" s="43">
        <f t="shared" si="1"/>
        <v>0</v>
      </c>
      <c r="P25" s="44">
        <f t="shared" si="2"/>
        <v>18.239999999999998</v>
      </c>
      <c r="Q25" s="45">
        <f t="shared" si="3"/>
        <v>18.239999999999998</v>
      </c>
      <c r="R25" s="46">
        <f t="shared" si="5"/>
        <v>1.51302</v>
      </c>
      <c r="S25" s="150">
        <v>3.34</v>
      </c>
      <c r="T25" s="46">
        <f t="shared" si="6"/>
        <v>16.726979999999998</v>
      </c>
      <c r="U25" s="46">
        <f t="shared" si="4"/>
        <v>1.3939149999999998</v>
      </c>
      <c r="V25" s="47">
        <f t="shared" si="7"/>
        <v>16.726979999999998</v>
      </c>
      <c r="W25" s="10"/>
    </row>
    <row r="26" spans="1:23" ht="15" customHeight="1" x14ac:dyDescent="0.2">
      <c r="A26" s="69" t="s">
        <v>293</v>
      </c>
      <c r="B26" s="156" t="s">
        <v>294</v>
      </c>
      <c r="C26" s="126" t="s">
        <v>295</v>
      </c>
      <c r="D26" s="92" t="s">
        <v>296</v>
      </c>
      <c r="E26" s="92" t="s">
        <v>297</v>
      </c>
      <c r="F26" s="49">
        <v>1000</v>
      </c>
      <c r="G26" s="49">
        <v>21</v>
      </c>
      <c r="H26" s="53">
        <v>17.5</v>
      </c>
      <c r="I26" s="65">
        <v>0.8</v>
      </c>
      <c r="J26" s="49" t="s">
        <v>131</v>
      </c>
      <c r="K26" s="66" t="s">
        <v>132</v>
      </c>
      <c r="L26" s="67">
        <v>20.5</v>
      </c>
      <c r="M26" s="120">
        <f>IF(ISNA(VLOOKUP($R$7,$AB$2:$BS$4,15,)),"", (VLOOKUP($R$7,$AB$2:$BS$4,15,)))</f>
        <v>0.26</v>
      </c>
      <c r="N26" s="57">
        <f t="shared" si="0"/>
        <v>20.239999999999998</v>
      </c>
      <c r="O26" s="43">
        <f t="shared" si="1"/>
        <v>0</v>
      </c>
      <c r="P26" s="44">
        <f t="shared" si="2"/>
        <v>20.239999999999998</v>
      </c>
      <c r="Q26" s="45">
        <f t="shared" si="3"/>
        <v>20.239999999999998</v>
      </c>
      <c r="R26" s="46">
        <f t="shared" si="5"/>
        <v>1.76217</v>
      </c>
      <c r="S26" s="150">
        <v>3.89</v>
      </c>
      <c r="T26" s="46">
        <f t="shared" si="6"/>
        <v>18.477829999999997</v>
      </c>
      <c r="U26" s="46">
        <f t="shared" si="4"/>
        <v>1.8477829999999997E-2</v>
      </c>
      <c r="V26" s="47">
        <f t="shared" si="7"/>
        <v>18.477829999999997</v>
      </c>
      <c r="W26" s="10"/>
    </row>
    <row r="27" spans="1:23" ht="15" customHeight="1" x14ac:dyDescent="0.2">
      <c r="A27" s="206" t="s">
        <v>298</v>
      </c>
      <c r="B27" s="207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10"/>
    </row>
    <row r="28" spans="1:23" ht="15" customHeight="1" x14ac:dyDescent="0.2">
      <c r="A28" s="58" t="s">
        <v>169</v>
      </c>
      <c r="B28" s="68" t="s">
        <v>20</v>
      </c>
      <c r="C28" s="126" t="s">
        <v>257</v>
      </c>
      <c r="D28" s="59" t="s">
        <v>136</v>
      </c>
      <c r="E28" s="59" t="s">
        <v>137</v>
      </c>
      <c r="F28" s="59">
        <v>250</v>
      </c>
      <c r="G28" s="59">
        <v>18</v>
      </c>
      <c r="H28" s="61">
        <v>15.63</v>
      </c>
      <c r="I28" s="62">
        <v>0.6</v>
      </c>
      <c r="J28" s="59" t="s">
        <v>138</v>
      </c>
      <c r="K28" s="55" t="s">
        <v>139</v>
      </c>
      <c r="L28" s="67">
        <v>21.7</v>
      </c>
      <c r="M28" s="120">
        <f>IF(ISNA(VLOOKUP($R$7,$AB$2:$BS$4,16,)),"", (VLOOKUP($R$7,$AB$2:$BS$4,16,)))</f>
        <v>0.26</v>
      </c>
      <c r="N28" s="57">
        <f t="shared" ref="N28:N34" si="8">L28-M28</f>
        <v>21.439999999999998</v>
      </c>
      <c r="O28" s="43">
        <f t="shared" ref="O28:O34" si="9">(G28*$O$11/100)</f>
        <v>0</v>
      </c>
      <c r="P28" s="44">
        <f t="shared" ref="P28:P34" si="10">IF(M28&gt;5,M28+O28,N28+O28)</f>
        <v>21.439999999999998</v>
      </c>
      <c r="Q28" s="45">
        <f t="shared" ref="Q28:Q34" si="11">IF(M28&gt;5,(M28+($Q$11*G28/100)),(N28+($Q$11*G28/100)))</f>
        <v>21.439999999999998</v>
      </c>
      <c r="R28" s="46">
        <f>SUM(S28*$S$8)</f>
        <v>0.92864999999999998</v>
      </c>
      <c r="S28" s="150">
        <v>2.0499999999999998</v>
      </c>
      <c r="T28" s="46">
        <f>P28-R28</f>
        <v>20.511349999999997</v>
      </c>
      <c r="U28" s="46">
        <f t="shared" ref="U28:U34" si="12">T28/F28</f>
        <v>8.2045399999999991E-2</v>
      </c>
      <c r="V28" s="47">
        <f>Q28-R28</f>
        <v>20.511349999999997</v>
      </c>
      <c r="W28" s="10"/>
    </row>
    <row r="29" spans="1:23" ht="15" customHeight="1" x14ac:dyDescent="0.2">
      <c r="A29" s="58" t="s">
        <v>170</v>
      </c>
      <c r="B29" s="59" t="s">
        <v>21</v>
      </c>
      <c r="C29" s="126" t="s">
        <v>260</v>
      </c>
      <c r="D29" s="59" t="s">
        <v>171</v>
      </c>
      <c r="E29" s="59" t="s">
        <v>137</v>
      </c>
      <c r="F29" s="59">
        <v>250</v>
      </c>
      <c r="G29" s="59">
        <v>18</v>
      </c>
      <c r="H29" s="61">
        <v>15</v>
      </c>
      <c r="I29" s="62">
        <v>0.49</v>
      </c>
      <c r="J29" s="59" t="s">
        <v>145</v>
      </c>
      <c r="K29" s="55" t="s">
        <v>139</v>
      </c>
      <c r="L29" s="67">
        <v>23.9</v>
      </c>
      <c r="M29" s="120">
        <f>IF(ISNA(VLOOKUP($R$7,$AB$2:$BS$4,17,)),"", (VLOOKUP($R$7,$AB$2:$BS$4,17,)))</f>
        <v>0.26</v>
      </c>
      <c r="N29" s="57">
        <f t="shared" si="8"/>
        <v>23.639999999999997</v>
      </c>
      <c r="O29" s="43">
        <f t="shared" si="9"/>
        <v>0</v>
      </c>
      <c r="P29" s="44">
        <f t="shared" si="10"/>
        <v>23.639999999999997</v>
      </c>
      <c r="Q29" s="45">
        <f t="shared" si="11"/>
        <v>23.639999999999997</v>
      </c>
      <c r="R29" s="46">
        <f>SUM(S29*$S$8)</f>
        <v>0.78369</v>
      </c>
      <c r="S29" s="151">
        <v>1.73</v>
      </c>
      <c r="T29" s="46">
        <f>P29-R29</f>
        <v>22.856309999999997</v>
      </c>
      <c r="U29" s="46">
        <f t="shared" si="12"/>
        <v>9.1425239999999991E-2</v>
      </c>
      <c r="V29" s="47">
        <f>Q29-R29</f>
        <v>22.856309999999997</v>
      </c>
      <c r="W29" s="10"/>
    </row>
    <row r="30" spans="1:23" ht="15" customHeight="1" x14ac:dyDescent="0.2">
      <c r="A30" s="58" t="s">
        <v>168</v>
      </c>
      <c r="B30" s="68" t="s">
        <v>17</v>
      </c>
      <c r="C30" s="126" t="s">
        <v>258</v>
      </c>
      <c r="D30" s="59" t="s">
        <v>136</v>
      </c>
      <c r="E30" s="59" t="s">
        <v>137</v>
      </c>
      <c r="F30" s="59">
        <v>250</v>
      </c>
      <c r="G30" s="59">
        <v>18</v>
      </c>
      <c r="H30" s="61">
        <v>15.63</v>
      </c>
      <c r="I30" s="62">
        <v>0.6</v>
      </c>
      <c r="J30" s="59" t="s">
        <v>138</v>
      </c>
      <c r="K30" s="55" t="s">
        <v>139</v>
      </c>
      <c r="L30" s="67">
        <v>23.9</v>
      </c>
      <c r="M30" s="120">
        <f>IF(ISNA(VLOOKUP($R$7,$AB$2:$BS$4,18,)),"", (VLOOKUP($R$7,$AB$2:$BS$4,18,)))</f>
        <v>0.26</v>
      </c>
      <c r="N30" s="57">
        <f t="shared" si="8"/>
        <v>23.639999999999997</v>
      </c>
      <c r="O30" s="43">
        <f t="shared" si="9"/>
        <v>0</v>
      </c>
      <c r="P30" s="44">
        <f t="shared" si="10"/>
        <v>23.639999999999997</v>
      </c>
      <c r="Q30" s="45">
        <f t="shared" si="11"/>
        <v>23.639999999999997</v>
      </c>
      <c r="R30" s="46">
        <f>SUM(S30*$S$8)</f>
        <v>1.80294</v>
      </c>
      <c r="S30" s="150">
        <v>3.98</v>
      </c>
      <c r="T30" s="46">
        <f>P30-R30</f>
        <v>21.837059999999997</v>
      </c>
      <c r="U30" s="46">
        <f t="shared" si="12"/>
        <v>8.7348239999999994E-2</v>
      </c>
      <c r="V30" s="47">
        <f>Q30-R30</f>
        <v>21.837059999999997</v>
      </c>
      <c r="W30" s="10"/>
    </row>
    <row r="31" spans="1:23" ht="15" customHeight="1" x14ac:dyDescent="0.2">
      <c r="A31" s="69" t="s">
        <v>148</v>
      </c>
      <c r="B31" s="70" t="s">
        <v>15</v>
      </c>
      <c r="C31" s="60" t="s">
        <v>149</v>
      </c>
      <c r="D31" s="59" t="s">
        <v>150</v>
      </c>
      <c r="E31" s="59" t="s">
        <v>151</v>
      </c>
      <c r="F31" s="71">
        <v>84</v>
      </c>
      <c r="G31" s="71">
        <v>18</v>
      </c>
      <c r="H31" s="61">
        <v>15.75</v>
      </c>
      <c r="I31" s="62">
        <v>0.74</v>
      </c>
      <c r="J31" s="58" t="s">
        <v>152</v>
      </c>
      <c r="K31" s="72" t="s">
        <v>153</v>
      </c>
      <c r="L31" s="67">
        <v>25.7</v>
      </c>
      <c r="M31" s="120">
        <f>IF(ISNA(VLOOKUP($R$7,$AB$2:$BS$4,19,)),"", (VLOOKUP($R$7,$AB$2:$BS$4,19,)))</f>
        <v>0.26</v>
      </c>
      <c r="N31" s="57">
        <f t="shared" si="8"/>
        <v>25.439999999999998</v>
      </c>
      <c r="O31" s="43">
        <f t="shared" si="9"/>
        <v>0</v>
      </c>
      <c r="P31" s="44">
        <f t="shared" si="10"/>
        <v>25.439999999999998</v>
      </c>
      <c r="Q31" s="45">
        <f t="shared" si="11"/>
        <v>25.439999999999998</v>
      </c>
      <c r="R31" s="46">
        <f t="shared" si="5"/>
        <v>1.06908</v>
      </c>
      <c r="S31" s="150">
        <v>2.36</v>
      </c>
      <c r="T31" s="46">
        <f t="shared" si="6"/>
        <v>24.370919999999998</v>
      </c>
      <c r="U31" s="46">
        <f t="shared" si="12"/>
        <v>0.29013</v>
      </c>
      <c r="V31" s="47">
        <f t="shared" si="7"/>
        <v>24.370919999999998</v>
      </c>
      <c r="W31" s="10"/>
    </row>
    <row r="32" spans="1:23" ht="15" customHeight="1" x14ac:dyDescent="0.2">
      <c r="A32" s="58" t="s">
        <v>154</v>
      </c>
      <c r="B32" s="157" t="s">
        <v>16</v>
      </c>
      <c r="C32" s="60" t="s">
        <v>155</v>
      </c>
      <c r="D32" s="59" t="s">
        <v>156</v>
      </c>
      <c r="E32" s="59" t="s">
        <v>151</v>
      </c>
      <c r="F32" s="71">
        <v>168</v>
      </c>
      <c r="G32" s="71">
        <v>35</v>
      </c>
      <c r="H32" s="61">
        <v>31.52</v>
      </c>
      <c r="I32" s="62">
        <v>1.57</v>
      </c>
      <c r="J32" s="74" t="s">
        <v>157</v>
      </c>
      <c r="K32" s="72" t="s">
        <v>158</v>
      </c>
      <c r="L32" s="67">
        <v>49.7</v>
      </c>
      <c r="M32" s="120">
        <f>IF(ISNA(VLOOKUP($R$7,$AB$2:$BS$4,20,)),"", (VLOOKUP($R$7,$AB$2:$BS$4,20,)))</f>
        <v>0.51</v>
      </c>
      <c r="N32" s="57">
        <f t="shared" si="8"/>
        <v>49.190000000000005</v>
      </c>
      <c r="O32" s="43">
        <f t="shared" si="9"/>
        <v>0</v>
      </c>
      <c r="P32" s="44">
        <f t="shared" si="10"/>
        <v>49.190000000000005</v>
      </c>
      <c r="Q32" s="45">
        <f t="shared" si="11"/>
        <v>49.190000000000005</v>
      </c>
      <c r="R32" s="46">
        <f t="shared" si="5"/>
        <v>2.1381600000000001</v>
      </c>
      <c r="S32" s="150">
        <v>4.72</v>
      </c>
      <c r="T32" s="46">
        <f t="shared" si="6"/>
        <v>47.051840000000006</v>
      </c>
      <c r="U32" s="46">
        <f t="shared" si="12"/>
        <v>0.2800704761904762</v>
      </c>
      <c r="V32" s="47">
        <f t="shared" si="7"/>
        <v>47.051840000000006</v>
      </c>
      <c r="W32" s="10"/>
    </row>
    <row r="33" spans="1:23" ht="15" customHeight="1" x14ac:dyDescent="0.2">
      <c r="A33" s="58" t="s">
        <v>159</v>
      </c>
      <c r="B33" s="70" t="s">
        <v>18</v>
      </c>
      <c r="C33" s="75" t="s">
        <v>160</v>
      </c>
      <c r="D33" s="158" t="s">
        <v>161</v>
      </c>
      <c r="E33" s="59" t="s">
        <v>162</v>
      </c>
      <c r="F33" s="71">
        <v>84</v>
      </c>
      <c r="G33" s="71">
        <v>15</v>
      </c>
      <c r="H33" s="61">
        <v>13.13</v>
      </c>
      <c r="I33" s="62">
        <v>0.74</v>
      </c>
      <c r="J33" s="58" t="s">
        <v>163</v>
      </c>
      <c r="K33" s="72" t="s">
        <v>153</v>
      </c>
      <c r="L33" s="67">
        <v>19.75</v>
      </c>
      <c r="M33" s="120">
        <f>IF(ISNA(VLOOKUP($R$7,$AB$2:$BS$4,21,)),"", (VLOOKUP($R$7,$AB$2:$BS$4,21,)))</f>
        <v>0.26</v>
      </c>
      <c r="N33" s="57">
        <f t="shared" si="8"/>
        <v>19.489999999999998</v>
      </c>
      <c r="O33" s="43">
        <f t="shared" si="9"/>
        <v>0</v>
      </c>
      <c r="P33" s="44">
        <f t="shared" si="10"/>
        <v>19.489999999999998</v>
      </c>
      <c r="Q33" s="45">
        <f t="shared" si="11"/>
        <v>19.489999999999998</v>
      </c>
      <c r="R33" s="46">
        <f t="shared" si="5"/>
        <v>1.6625099999999999</v>
      </c>
      <c r="S33" s="150">
        <v>3.67</v>
      </c>
      <c r="T33" s="46">
        <f t="shared" si="6"/>
        <v>17.827489999999997</v>
      </c>
      <c r="U33" s="46">
        <f t="shared" si="12"/>
        <v>0.21223202380952377</v>
      </c>
      <c r="V33" s="47">
        <f t="shared" si="7"/>
        <v>17.827489999999997</v>
      </c>
      <c r="W33" s="10"/>
    </row>
    <row r="34" spans="1:23" ht="15" customHeight="1" x14ac:dyDescent="0.2">
      <c r="A34" s="58" t="s">
        <v>164</v>
      </c>
      <c r="B34" s="157" t="s">
        <v>19</v>
      </c>
      <c r="C34" s="75" t="s">
        <v>165</v>
      </c>
      <c r="D34" s="158" t="s">
        <v>166</v>
      </c>
      <c r="E34" s="59" t="s">
        <v>162</v>
      </c>
      <c r="F34" s="71">
        <v>168</v>
      </c>
      <c r="G34" s="71">
        <v>29</v>
      </c>
      <c r="H34" s="61">
        <v>26.25</v>
      </c>
      <c r="I34" s="62">
        <v>1.57</v>
      </c>
      <c r="J34" s="74" t="s">
        <v>157</v>
      </c>
      <c r="K34" s="72" t="s">
        <v>167</v>
      </c>
      <c r="L34" s="67">
        <v>38</v>
      </c>
      <c r="M34" s="120">
        <f>IF(ISNA(VLOOKUP($R$7,$AB$2:$BS$4,22,)),"", (VLOOKUP($R$7,$AB$2:$BS$4,22,)))</f>
        <v>0.26</v>
      </c>
      <c r="N34" s="57">
        <f t="shared" si="8"/>
        <v>37.74</v>
      </c>
      <c r="O34" s="43">
        <f t="shared" si="9"/>
        <v>0</v>
      </c>
      <c r="P34" s="44">
        <f t="shared" si="10"/>
        <v>37.74</v>
      </c>
      <c r="Q34" s="45">
        <f t="shared" si="11"/>
        <v>37.74</v>
      </c>
      <c r="R34" s="46">
        <f t="shared" si="5"/>
        <v>3.3204899999999999</v>
      </c>
      <c r="S34" s="150">
        <v>7.33</v>
      </c>
      <c r="T34" s="46">
        <f t="shared" si="6"/>
        <v>34.419510000000002</v>
      </c>
      <c r="U34" s="46">
        <f t="shared" si="12"/>
        <v>0.20487803571428573</v>
      </c>
      <c r="V34" s="47">
        <f t="shared" si="7"/>
        <v>34.419510000000002</v>
      </c>
      <c r="W34" s="10"/>
    </row>
    <row r="35" spans="1:23" ht="15" customHeight="1" x14ac:dyDescent="0.2">
      <c r="A35" s="214" t="s">
        <v>300</v>
      </c>
      <c r="B35" s="215"/>
      <c r="C35" s="216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10"/>
    </row>
    <row r="36" spans="1:23" ht="15" customHeight="1" x14ac:dyDescent="0.2">
      <c r="A36" s="58" t="s">
        <v>124</v>
      </c>
      <c r="B36" s="59" t="s">
        <v>9</v>
      </c>
      <c r="C36" s="126" t="s">
        <v>252</v>
      </c>
      <c r="D36" s="158" t="s">
        <v>125</v>
      </c>
      <c r="E36" s="158" t="s">
        <v>121</v>
      </c>
      <c r="F36" s="52">
        <v>2</v>
      </c>
      <c r="G36" s="59">
        <v>31</v>
      </c>
      <c r="H36" s="61">
        <v>29</v>
      </c>
      <c r="I36" s="62">
        <v>0.56000000000000005</v>
      </c>
      <c r="J36" s="59" t="s">
        <v>114</v>
      </c>
      <c r="K36" s="55" t="s">
        <v>118</v>
      </c>
      <c r="L36" s="56">
        <v>14.95</v>
      </c>
      <c r="M36" s="120">
        <f>IF(ISNA(VLOOKUP($R$7,$AB$2:$BS$4,23,)),"", (VLOOKUP($R$7,$AB$2:$BS$4,23,)))</f>
        <v>0.26</v>
      </c>
      <c r="N36" s="57">
        <f>L36-M36</f>
        <v>14.69</v>
      </c>
      <c r="O36" s="43">
        <f t="shared" ref="O36:O41" si="13">(G36*$O$11/100)</f>
        <v>0</v>
      </c>
      <c r="P36" s="44">
        <f t="shared" ref="P36:P41" si="14">IF(M36&gt;5,M36+O36,N36+O36)</f>
        <v>14.69</v>
      </c>
      <c r="Q36" s="45">
        <f t="shared" ref="Q36:Q41" si="15">IF(M36&gt;5,(M36+($Q$11*G36/100)),(N36+($Q$11*G36/100)))</f>
        <v>14.69</v>
      </c>
      <c r="R36" s="46">
        <f>SUM(S36*$S$8)</f>
        <v>2.9897999999999998</v>
      </c>
      <c r="S36" s="150">
        <v>6.6</v>
      </c>
      <c r="T36" s="46">
        <f>P36-R36</f>
        <v>11.700199999999999</v>
      </c>
      <c r="U36" s="46">
        <f>T36/F36</f>
        <v>5.8500999999999994</v>
      </c>
      <c r="V36" s="47">
        <f>Q36-R36</f>
        <v>11.700199999999999</v>
      </c>
      <c r="W36" s="10"/>
    </row>
    <row r="37" spans="1:23" ht="15" customHeight="1" x14ac:dyDescent="0.2">
      <c r="A37" s="58" t="s">
        <v>126</v>
      </c>
      <c r="B37" s="59" t="s">
        <v>10</v>
      </c>
      <c r="C37" s="126" t="s">
        <v>251</v>
      </c>
      <c r="D37" s="158" t="s">
        <v>125</v>
      </c>
      <c r="E37" s="158" t="s">
        <v>121</v>
      </c>
      <c r="F37" s="59">
        <v>2</v>
      </c>
      <c r="G37" s="64">
        <v>31</v>
      </c>
      <c r="H37" s="61">
        <v>29</v>
      </c>
      <c r="I37" s="62">
        <v>0.56000000000000005</v>
      </c>
      <c r="J37" s="59" t="s">
        <v>114</v>
      </c>
      <c r="K37" s="55" t="s">
        <v>118</v>
      </c>
      <c r="L37" s="56">
        <v>17.3</v>
      </c>
      <c r="M37" s="120">
        <f>IF(ISNA(VLOOKUP($R$7,$AB$2:$BS$4,24,)),"", (VLOOKUP($R$7,$AB$2:$BS$4,24,)))</f>
        <v>0.51</v>
      </c>
      <c r="N37" s="57">
        <f>L37-M37</f>
        <v>16.79</v>
      </c>
      <c r="O37" s="43">
        <f t="shared" si="13"/>
        <v>0</v>
      </c>
      <c r="P37" s="44">
        <f t="shared" si="14"/>
        <v>16.79</v>
      </c>
      <c r="Q37" s="45">
        <f t="shared" si="15"/>
        <v>16.79</v>
      </c>
      <c r="R37" s="46">
        <f>SUM(S37*$S$8)</f>
        <v>3.1392899999999999</v>
      </c>
      <c r="S37" s="150">
        <v>6.93</v>
      </c>
      <c r="T37" s="46">
        <f>P37-R37</f>
        <v>13.65071</v>
      </c>
      <c r="U37" s="46">
        <f>T37/F37</f>
        <v>6.8253550000000001</v>
      </c>
      <c r="V37" s="47">
        <f>Q37-R37</f>
        <v>13.65071</v>
      </c>
      <c r="W37" s="10"/>
    </row>
    <row r="38" spans="1:23" ht="15" customHeight="1" x14ac:dyDescent="0.2">
      <c r="A38" s="58" t="s">
        <v>172</v>
      </c>
      <c r="B38" s="59" t="s">
        <v>173</v>
      </c>
      <c r="C38" s="126" t="s">
        <v>259</v>
      </c>
      <c r="D38" s="158" t="s">
        <v>125</v>
      </c>
      <c r="E38" s="158" t="s">
        <v>121</v>
      </c>
      <c r="F38" s="52">
        <v>2</v>
      </c>
      <c r="G38" s="59">
        <v>31</v>
      </c>
      <c r="H38" s="61">
        <v>29</v>
      </c>
      <c r="I38" s="62">
        <v>0.56000000000000005</v>
      </c>
      <c r="J38" s="59" t="s">
        <v>114</v>
      </c>
      <c r="K38" s="158" t="s">
        <v>118</v>
      </c>
      <c r="L38" s="67">
        <v>22.5</v>
      </c>
      <c r="M38" s="120">
        <f>IF(ISNA(VLOOKUP($R$7,$AB$2:$BS$4,25,)),"", (VLOOKUP($R$7,$AB$2:$BS$4,25,)))</f>
        <v>0.51</v>
      </c>
      <c r="N38" s="57">
        <f>L38-M38</f>
        <v>21.99</v>
      </c>
      <c r="O38" s="43">
        <f t="shared" si="13"/>
        <v>0</v>
      </c>
      <c r="P38" s="44">
        <f t="shared" si="14"/>
        <v>21.99</v>
      </c>
      <c r="Q38" s="45">
        <f t="shared" si="15"/>
        <v>21.99</v>
      </c>
      <c r="R38" s="46">
        <f>SUM(S38*$S$8)</f>
        <v>1.73499</v>
      </c>
      <c r="S38" s="151">
        <v>3.83</v>
      </c>
      <c r="T38" s="46">
        <f>P38-R38</f>
        <v>20.255009999999999</v>
      </c>
      <c r="U38" s="46">
        <f>T38/F38</f>
        <v>10.127504999999999</v>
      </c>
      <c r="V38" s="47">
        <f>Q38-R38</f>
        <v>20.255009999999999</v>
      </c>
      <c r="W38" s="10"/>
    </row>
    <row r="39" spans="1:23" ht="15" customHeight="1" x14ac:dyDescent="0.2">
      <c r="A39" s="79" t="s">
        <v>174</v>
      </c>
      <c r="B39" s="127" t="s">
        <v>175</v>
      </c>
      <c r="C39" s="128" t="s">
        <v>275</v>
      </c>
      <c r="D39" s="129" t="s">
        <v>125</v>
      </c>
      <c r="E39" s="129" t="s">
        <v>121</v>
      </c>
      <c r="F39" s="127">
        <v>2</v>
      </c>
      <c r="G39" s="59">
        <v>31</v>
      </c>
      <c r="H39" s="130">
        <v>29</v>
      </c>
      <c r="I39" s="131">
        <v>0.56000000000000005</v>
      </c>
      <c r="J39" s="127" t="s">
        <v>114</v>
      </c>
      <c r="K39" s="129" t="s">
        <v>118</v>
      </c>
      <c r="L39" s="142">
        <v>14.45</v>
      </c>
      <c r="M39" s="120">
        <f>IF(ISNA(VLOOKUP($R$7,$AB$2:$BS$4,26,)),"", (VLOOKUP($R$7,$AB$2:$BS$4,26,)))</f>
        <v>0.26</v>
      </c>
      <c r="N39" s="132">
        <f>L39-M39</f>
        <v>14.19</v>
      </c>
      <c r="O39" s="133">
        <f t="shared" si="13"/>
        <v>0</v>
      </c>
      <c r="P39" s="134">
        <f t="shared" si="14"/>
        <v>14.19</v>
      </c>
      <c r="Q39" s="135">
        <f t="shared" si="15"/>
        <v>14.19</v>
      </c>
      <c r="R39" s="136" t="s">
        <v>176</v>
      </c>
      <c r="S39" s="152" t="s">
        <v>176</v>
      </c>
      <c r="T39" s="136" t="s">
        <v>176</v>
      </c>
      <c r="U39" s="136" t="s">
        <v>176</v>
      </c>
      <c r="V39" s="136" t="s">
        <v>176</v>
      </c>
      <c r="W39" s="10"/>
    </row>
    <row r="40" spans="1:23" ht="15" customHeight="1" x14ac:dyDescent="0.2">
      <c r="A40" s="137" t="s">
        <v>283</v>
      </c>
      <c r="B40" s="138" t="s">
        <v>276</v>
      </c>
      <c r="C40" s="137" t="s">
        <v>274</v>
      </c>
      <c r="D40" s="129" t="s">
        <v>125</v>
      </c>
      <c r="E40" s="129" t="s">
        <v>121</v>
      </c>
      <c r="F40" s="127">
        <v>2</v>
      </c>
      <c r="G40" s="59">
        <v>31</v>
      </c>
      <c r="H40" s="130">
        <v>29</v>
      </c>
      <c r="I40" s="131">
        <v>0.56000000000000005</v>
      </c>
      <c r="J40" s="127" t="s">
        <v>114</v>
      </c>
      <c r="K40" s="129" t="s">
        <v>118</v>
      </c>
      <c r="L40" s="146">
        <v>21.95</v>
      </c>
      <c r="M40" s="120">
        <f>IF(ISNA(VLOOKUP($R$7,$AB$2:$BS$4,27,)),"", (VLOOKUP($R$7,$AB$2:$BS$4,27,)))</f>
        <v>0.26</v>
      </c>
      <c r="N40" s="132">
        <f>L40-M40</f>
        <v>21.689999999999998</v>
      </c>
      <c r="O40" s="133">
        <f t="shared" si="13"/>
        <v>0</v>
      </c>
      <c r="P40" s="134">
        <f t="shared" si="14"/>
        <v>21.689999999999998</v>
      </c>
      <c r="Q40" s="135">
        <f t="shared" si="15"/>
        <v>21.689999999999998</v>
      </c>
      <c r="R40" s="136" t="s">
        <v>176</v>
      </c>
      <c r="S40" s="152" t="s">
        <v>176</v>
      </c>
      <c r="T40" s="136" t="s">
        <v>176</v>
      </c>
      <c r="U40" s="136" t="s">
        <v>176</v>
      </c>
      <c r="V40" s="136" t="s">
        <v>176</v>
      </c>
    </row>
    <row r="41" spans="1:23" ht="15" customHeight="1" x14ac:dyDescent="0.2">
      <c r="A41" s="137" t="s">
        <v>284</v>
      </c>
      <c r="B41" s="138" t="s">
        <v>285</v>
      </c>
      <c r="C41" s="137" t="s">
        <v>256</v>
      </c>
      <c r="D41" s="129" t="s">
        <v>125</v>
      </c>
      <c r="E41" s="129" t="s">
        <v>121</v>
      </c>
      <c r="F41" s="127">
        <v>2</v>
      </c>
      <c r="G41" s="59">
        <v>31</v>
      </c>
      <c r="H41" s="130">
        <v>29</v>
      </c>
      <c r="I41" s="131">
        <v>0.56000000000000005</v>
      </c>
      <c r="J41" s="127" t="s">
        <v>114</v>
      </c>
      <c r="K41" s="129" t="s">
        <v>118</v>
      </c>
      <c r="L41" s="138" t="s">
        <v>176</v>
      </c>
      <c r="M41" s="120">
        <f>IF(ISNA(VLOOKUP($R$7,$AB$2:$BS$4,28,)),"", (VLOOKUP($R$7,$AB$2:$BS$4,28,)))</f>
        <v>0</v>
      </c>
      <c r="N41" s="137"/>
      <c r="O41" s="133">
        <f t="shared" si="13"/>
        <v>0</v>
      </c>
      <c r="P41" s="134">
        <f t="shared" si="14"/>
        <v>0</v>
      </c>
      <c r="Q41" s="135">
        <f t="shared" si="15"/>
        <v>0</v>
      </c>
      <c r="R41" s="136" t="s">
        <v>176</v>
      </c>
      <c r="S41" s="152" t="s">
        <v>176</v>
      </c>
      <c r="T41" s="136" t="s">
        <v>176</v>
      </c>
      <c r="U41" s="136" t="s">
        <v>176</v>
      </c>
      <c r="V41" s="136" t="s">
        <v>176</v>
      </c>
    </row>
    <row r="42" spans="1:23" ht="15" customHeight="1" x14ac:dyDescent="0.2">
      <c r="A42" s="214" t="s">
        <v>301</v>
      </c>
      <c r="B42" s="215"/>
      <c r="C42" s="216"/>
      <c r="D42" s="21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10"/>
    </row>
    <row r="43" spans="1:23" ht="15" customHeight="1" x14ac:dyDescent="0.2">
      <c r="A43" s="58" t="s">
        <v>177</v>
      </c>
      <c r="B43" s="157" t="s">
        <v>22</v>
      </c>
      <c r="C43" s="139" t="s">
        <v>264</v>
      </c>
      <c r="D43" s="158" t="s">
        <v>90</v>
      </c>
      <c r="E43" s="158" t="s">
        <v>178</v>
      </c>
      <c r="F43" s="52">
        <v>6</v>
      </c>
      <c r="G43" s="52">
        <v>45</v>
      </c>
      <c r="H43" s="61">
        <v>38.6</v>
      </c>
      <c r="I43" s="76">
        <v>1</v>
      </c>
      <c r="J43" s="59" t="s">
        <v>92</v>
      </c>
      <c r="K43" s="55" t="s">
        <v>93</v>
      </c>
      <c r="L43" s="77">
        <v>24.05</v>
      </c>
      <c r="M43" s="120">
        <f>IF(ISNA(VLOOKUP($R$7,$AB$2:$BS$4,29,)),"", (VLOOKUP($R$7,$AB$2:$BS$4,29,)))</f>
        <v>0.26</v>
      </c>
      <c r="N43" s="147">
        <f t="shared" ref="N43:N61" si="16">L43-M43</f>
        <v>23.79</v>
      </c>
      <c r="O43" s="43">
        <f t="shared" ref="O43:O61" si="17">(G43*$O$11/100)</f>
        <v>0</v>
      </c>
      <c r="P43" s="43">
        <f t="shared" ref="P43:P61" si="18">IF(M43&gt;5,M43+O43,N43+O43)</f>
        <v>23.79</v>
      </c>
      <c r="Q43" s="148">
        <f t="shared" ref="Q43:Q61" si="19">IF(M43&gt;5,(M43+($Q$11*G43/100)),(N43+($Q$11*G43/100)))</f>
        <v>23.79</v>
      </c>
      <c r="R43" s="46">
        <f t="shared" si="5"/>
        <v>2.6727000000000003</v>
      </c>
      <c r="S43" s="153">
        <v>5.9</v>
      </c>
      <c r="T43" s="78">
        <f t="shared" si="6"/>
        <v>21.1173</v>
      </c>
      <c r="U43" s="78">
        <f t="shared" ref="U43:U58" si="20">T43/F43</f>
        <v>3.5195500000000002</v>
      </c>
      <c r="V43" s="47">
        <f t="shared" si="7"/>
        <v>21.1173</v>
      </c>
      <c r="W43" s="10"/>
    </row>
    <row r="44" spans="1:23" ht="15" customHeight="1" x14ac:dyDescent="0.2">
      <c r="A44" s="58" t="s">
        <v>179</v>
      </c>
      <c r="B44" s="157" t="s">
        <v>23</v>
      </c>
      <c r="C44" s="50" t="s">
        <v>180</v>
      </c>
      <c r="D44" s="158" t="s">
        <v>90</v>
      </c>
      <c r="E44" s="158" t="s">
        <v>181</v>
      </c>
      <c r="F44" s="52">
        <v>6</v>
      </c>
      <c r="G44" s="52">
        <v>45</v>
      </c>
      <c r="H44" s="61">
        <v>39.75</v>
      </c>
      <c r="I44" s="76">
        <v>1</v>
      </c>
      <c r="J44" s="59" t="s">
        <v>92</v>
      </c>
      <c r="K44" s="55" t="s">
        <v>93</v>
      </c>
      <c r="L44" s="77">
        <v>22.05</v>
      </c>
      <c r="M44" s="120">
        <f>IF(ISNA(VLOOKUP($R$7,$AB$2:$BS$4,30,)),"", (VLOOKUP($R$7,$AB$2:$BS$4,30,)))</f>
        <v>0.26</v>
      </c>
      <c r="N44" s="147">
        <f t="shared" si="16"/>
        <v>21.79</v>
      </c>
      <c r="O44" s="43">
        <f t="shared" si="17"/>
        <v>0</v>
      </c>
      <c r="P44" s="43">
        <f t="shared" si="18"/>
        <v>21.79</v>
      </c>
      <c r="Q44" s="148">
        <f t="shared" si="19"/>
        <v>21.79</v>
      </c>
      <c r="R44" s="46">
        <f t="shared" si="5"/>
        <v>2.3646599999999998</v>
      </c>
      <c r="S44" s="153">
        <v>5.22</v>
      </c>
      <c r="T44" s="78">
        <f t="shared" si="6"/>
        <v>19.425339999999998</v>
      </c>
      <c r="U44" s="78">
        <f t="shared" si="20"/>
        <v>3.2375566666666664</v>
      </c>
      <c r="V44" s="47">
        <f t="shared" si="7"/>
        <v>19.425339999999998</v>
      </c>
      <c r="W44" s="10"/>
    </row>
    <row r="45" spans="1:23" ht="15" customHeight="1" x14ac:dyDescent="0.2">
      <c r="A45" s="58" t="s">
        <v>182</v>
      </c>
      <c r="B45" s="157" t="s">
        <v>24</v>
      </c>
      <c r="C45" s="140" t="s">
        <v>265</v>
      </c>
      <c r="D45" s="158" t="s">
        <v>90</v>
      </c>
      <c r="E45" s="158" t="s">
        <v>181</v>
      </c>
      <c r="F45" s="52">
        <v>6</v>
      </c>
      <c r="G45" s="52">
        <v>45</v>
      </c>
      <c r="H45" s="61">
        <v>39.75</v>
      </c>
      <c r="I45" s="62">
        <v>1</v>
      </c>
      <c r="J45" s="59" t="s">
        <v>92</v>
      </c>
      <c r="K45" s="55" t="s">
        <v>93</v>
      </c>
      <c r="L45" s="77">
        <v>23.5</v>
      </c>
      <c r="M45" s="120">
        <f>IF(ISNA(VLOOKUP($R$7,$AB$2:$BS$4,31,)),"", (VLOOKUP($R$7,$AB$2:$BS$4,31,)))</f>
        <v>0.51</v>
      </c>
      <c r="N45" s="147">
        <f t="shared" si="16"/>
        <v>22.99</v>
      </c>
      <c r="O45" s="43">
        <f t="shared" si="17"/>
        <v>0</v>
      </c>
      <c r="P45" s="43">
        <f t="shared" si="18"/>
        <v>22.99</v>
      </c>
      <c r="Q45" s="148">
        <f t="shared" si="19"/>
        <v>22.99</v>
      </c>
      <c r="R45" s="46">
        <f t="shared" si="5"/>
        <v>4.6749600000000004</v>
      </c>
      <c r="S45" s="153">
        <v>10.32</v>
      </c>
      <c r="T45" s="78">
        <f t="shared" si="6"/>
        <v>18.315039999999996</v>
      </c>
      <c r="U45" s="78">
        <f t="shared" si="20"/>
        <v>3.052506666666666</v>
      </c>
      <c r="V45" s="47">
        <f t="shared" si="7"/>
        <v>18.315039999999996</v>
      </c>
      <c r="W45" s="10"/>
    </row>
    <row r="46" spans="1:23" ht="15" customHeight="1" x14ac:dyDescent="0.2">
      <c r="A46" s="79" t="s">
        <v>183</v>
      </c>
      <c r="B46" s="157" t="s">
        <v>25</v>
      </c>
      <c r="C46" s="75" t="s">
        <v>184</v>
      </c>
      <c r="D46" s="158" t="s">
        <v>90</v>
      </c>
      <c r="E46" s="158" t="s">
        <v>181</v>
      </c>
      <c r="F46" s="52">
        <v>6</v>
      </c>
      <c r="G46" s="52">
        <v>45</v>
      </c>
      <c r="H46" s="61">
        <v>39.75</v>
      </c>
      <c r="I46" s="62">
        <v>1</v>
      </c>
      <c r="J46" s="59" t="s">
        <v>92</v>
      </c>
      <c r="K46" s="55" t="s">
        <v>93</v>
      </c>
      <c r="L46" s="77">
        <v>21.2</v>
      </c>
      <c r="M46" s="120">
        <f>IF(ISNA(VLOOKUP($R$7,$AB$2:$BS$4,32,)),"", (VLOOKUP($R$7,$AB$2:$BS$4,32,)))</f>
        <v>0.26</v>
      </c>
      <c r="N46" s="147">
        <f t="shared" si="16"/>
        <v>20.939999999999998</v>
      </c>
      <c r="O46" s="43">
        <f t="shared" si="17"/>
        <v>0</v>
      </c>
      <c r="P46" s="43">
        <f t="shared" si="18"/>
        <v>20.939999999999998</v>
      </c>
      <c r="Q46" s="148">
        <f t="shared" si="19"/>
        <v>20.939999999999998</v>
      </c>
      <c r="R46" s="46">
        <f t="shared" si="5"/>
        <v>4.8335100000000004</v>
      </c>
      <c r="S46" s="153">
        <v>10.67</v>
      </c>
      <c r="T46" s="78">
        <f t="shared" si="6"/>
        <v>16.106489999999997</v>
      </c>
      <c r="U46" s="78">
        <f t="shared" si="20"/>
        <v>2.6844149999999996</v>
      </c>
      <c r="V46" s="47">
        <f t="shared" si="7"/>
        <v>16.106489999999997</v>
      </c>
      <c r="W46" s="10"/>
    </row>
    <row r="47" spans="1:23" ht="15" customHeight="1" x14ac:dyDescent="0.2">
      <c r="A47" s="80" t="s">
        <v>185</v>
      </c>
      <c r="B47" s="81" t="s">
        <v>26</v>
      </c>
      <c r="C47" s="161" t="s">
        <v>266</v>
      </c>
      <c r="D47" s="158" t="s">
        <v>90</v>
      </c>
      <c r="E47" s="49" t="s">
        <v>181</v>
      </c>
      <c r="F47" s="52">
        <v>6</v>
      </c>
      <c r="G47" s="52">
        <v>45</v>
      </c>
      <c r="H47" s="53">
        <v>39.380000000000003</v>
      </c>
      <c r="I47" s="62">
        <v>1</v>
      </c>
      <c r="J47" s="59" t="s">
        <v>92</v>
      </c>
      <c r="K47" s="55" t="s">
        <v>93</v>
      </c>
      <c r="L47" s="77">
        <v>26.6</v>
      </c>
      <c r="M47" s="120">
        <f>IF(ISNA(VLOOKUP($R$7,$AB$2:$BS$4,33,)),"", (VLOOKUP($R$7,$AB$2:$BS$4,33,)))</f>
        <v>0.51</v>
      </c>
      <c r="N47" s="147">
        <f t="shared" si="16"/>
        <v>26.09</v>
      </c>
      <c r="O47" s="43">
        <f t="shared" si="17"/>
        <v>0</v>
      </c>
      <c r="P47" s="43">
        <f t="shared" si="18"/>
        <v>26.09</v>
      </c>
      <c r="Q47" s="148">
        <f t="shared" si="19"/>
        <v>26.09</v>
      </c>
      <c r="R47" s="46">
        <f t="shared" si="5"/>
        <v>3.3204899999999999</v>
      </c>
      <c r="S47" s="153">
        <v>7.33</v>
      </c>
      <c r="T47" s="78">
        <f t="shared" si="6"/>
        <v>22.76951</v>
      </c>
      <c r="U47" s="78">
        <f t="shared" si="20"/>
        <v>3.7949183333333334</v>
      </c>
      <c r="V47" s="47">
        <f t="shared" si="7"/>
        <v>22.76951</v>
      </c>
      <c r="W47" s="10"/>
    </row>
    <row r="48" spans="1:23" ht="15" customHeight="1" x14ac:dyDescent="0.2">
      <c r="A48" s="58" t="s">
        <v>186</v>
      </c>
      <c r="B48" s="157" t="s">
        <v>27</v>
      </c>
      <c r="C48" s="75" t="s">
        <v>187</v>
      </c>
      <c r="D48" s="158" t="s">
        <v>90</v>
      </c>
      <c r="E48" s="158" t="s">
        <v>188</v>
      </c>
      <c r="F48" s="52">
        <v>6</v>
      </c>
      <c r="G48" s="52">
        <v>45</v>
      </c>
      <c r="H48" s="61">
        <v>39.380000000000003</v>
      </c>
      <c r="I48" s="76">
        <v>1</v>
      </c>
      <c r="J48" s="59" t="s">
        <v>92</v>
      </c>
      <c r="K48" s="55" t="s">
        <v>93</v>
      </c>
      <c r="L48" s="77">
        <v>24.3</v>
      </c>
      <c r="M48" s="120">
        <f>IF(ISNA(VLOOKUP($R$7,$AB$2:$BS$4,34,)),"", (VLOOKUP($R$7,$AB$2:$BS$4,34,)))</f>
        <v>0.26</v>
      </c>
      <c r="N48" s="147">
        <f t="shared" si="16"/>
        <v>24.04</v>
      </c>
      <c r="O48" s="43">
        <f t="shared" si="17"/>
        <v>0</v>
      </c>
      <c r="P48" s="43">
        <f t="shared" si="18"/>
        <v>24.04</v>
      </c>
      <c r="Q48" s="148">
        <f t="shared" si="19"/>
        <v>24.04</v>
      </c>
      <c r="R48" s="46">
        <f t="shared" si="5"/>
        <v>3.4065599999999998</v>
      </c>
      <c r="S48" s="153">
        <v>7.52</v>
      </c>
      <c r="T48" s="78">
        <f t="shared" si="6"/>
        <v>20.63344</v>
      </c>
      <c r="U48" s="78">
        <f t="shared" si="20"/>
        <v>3.4389066666666666</v>
      </c>
      <c r="V48" s="47">
        <f t="shared" si="7"/>
        <v>20.63344</v>
      </c>
      <c r="W48" s="10"/>
    </row>
    <row r="49" spans="1:23" ht="15" customHeight="1" x14ac:dyDescent="0.2">
      <c r="A49" s="80" t="s">
        <v>189</v>
      </c>
      <c r="B49" s="81" t="s">
        <v>28</v>
      </c>
      <c r="C49" s="161" t="s">
        <v>267</v>
      </c>
      <c r="D49" s="158" t="s">
        <v>90</v>
      </c>
      <c r="E49" s="49" t="s">
        <v>181</v>
      </c>
      <c r="F49" s="52">
        <v>6</v>
      </c>
      <c r="G49" s="83">
        <v>45</v>
      </c>
      <c r="H49" s="53">
        <v>39.75</v>
      </c>
      <c r="I49" s="76">
        <v>1</v>
      </c>
      <c r="J49" s="59" t="s">
        <v>92</v>
      </c>
      <c r="K49" s="55" t="s">
        <v>93</v>
      </c>
      <c r="L49" s="77">
        <v>24.85</v>
      </c>
      <c r="M49" s="120">
        <f>IF(ISNA(VLOOKUP($R$7,$AB$2:$BS$4,35,)),"", (VLOOKUP($R$7,$AB$2:$BS$4,35,)))</f>
        <v>0.51</v>
      </c>
      <c r="N49" s="147">
        <f t="shared" si="16"/>
        <v>24.34</v>
      </c>
      <c r="O49" s="43">
        <f t="shared" si="17"/>
        <v>0</v>
      </c>
      <c r="P49" s="43">
        <f t="shared" si="18"/>
        <v>24.34</v>
      </c>
      <c r="Q49" s="148">
        <f t="shared" si="19"/>
        <v>24.34</v>
      </c>
      <c r="R49" s="46">
        <f t="shared" si="5"/>
        <v>5.5537799999999997</v>
      </c>
      <c r="S49" s="153">
        <v>12.26</v>
      </c>
      <c r="T49" s="78">
        <f t="shared" si="6"/>
        <v>18.78622</v>
      </c>
      <c r="U49" s="78">
        <f t="shared" si="20"/>
        <v>3.1310366666666667</v>
      </c>
      <c r="V49" s="47">
        <f t="shared" si="7"/>
        <v>18.78622</v>
      </c>
      <c r="W49" s="10"/>
    </row>
    <row r="50" spans="1:23" ht="15" customHeight="1" x14ac:dyDescent="0.2">
      <c r="A50" s="32" t="s">
        <v>190</v>
      </c>
      <c r="B50" s="84" t="s">
        <v>29</v>
      </c>
      <c r="C50" s="85" t="s">
        <v>191</v>
      </c>
      <c r="D50" s="35" t="s">
        <v>90</v>
      </c>
      <c r="E50" s="35" t="s">
        <v>181</v>
      </c>
      <c r="F50" s="36">
        <v>6</v>
      </c>
      <c r="G50" s="33">
        <v>46</v>
      </c>
      <c r="H50" s="37">
        <v>39.75</v>
      </c>
      <c r="I50" s="38">
        <v>1</v>
      </c>
      <c r="J50" s="33" t="s">
        <v>92</v>
      </c>
      <c r="K50" s="39" t="s">
        <v>93</v>
      </c>
      <c r="L50" s="86">
        <v>22.55</v>
      </c>
      <c r="M50" s="120">
        <f>IF(ISNA(VLOOKUP($R$7,$AB$2:$BS$4,36,)),"", (VLOOKUP($R$7,$AB$2:$BS$4,36,)))</f>
        <v>0.26</v>
      </c>
      <c r="N50" s="149">
        <f t="shared" si="16"/>
        <v>22.29</v>
      </c>
      <c r="O50" s="43">
        <f t="shared" si="17"/>
        <v>0</v>
      </c>
      <c r="P50" s="43">
        <f t="shared" si="18"/>
        <v>22.29</v>
      </c>
      <c r="Q50" s="148">
        <f t="shared" si="19"/>
        <v>22.29</v>
      </c>
      <c r="R50" s="46">
        <f t="shared" si="5"/>
        <v>5.5537799999999997</v>
      </c>
      <c r="S50" s="151">
        <v>12.26</v>
      </c>
      <c r="T50" s="78">
        <f t="shared" si="6"/>
        <v>16.736219999999999</v>
      </c>
      <c r="U50" s="78">
        <f t="shared" si="20"/>
        <v>2.7893699999999999</v>
      </c>
      <c r="V50" s="47">
        <f t="shared" si="7"/>
        <v>16.736219999999999</v>
      </c>
      <c r="W50" s="10"/>
    </row>
    <row r="51" spans="1:23" ht="15" customHeight="1" x14ac:dyDescent="0.2">
      <c r="A51" s="32" t="s">
        <v>192</v>
      </c>
      <c r="B51" s="84" t="s">
        <v>30</v>
      </c>
      <c r="C51" s="85" t="s">
        <v>193</v>
      </c>
      <c r="D51" s="35" t="s">
        <v>90</v>
      </c>
      <c r="E51" s="35" t="s">
        <v>188</v>
      </c>
      <c r="F51" s="36">
        <v>6</v>
      </c>
      <c r="G51" s="33">
        <v>46</v>
      </c>
      <c r="H51" s="37">
        <v>39.380000000000003</v>
      </c>
      <c r="I51" s="38">
        <v>1</v>
      </c>
      <c r="J51" s="33" t="s">
        <v>92</v>
      </c>
      <c r="K51" s="39" t="s">
        <v>93</v>
      </c>
      <c r="L51" s="86">
        <v>18.149999999999999</v>
      </c>
      <c r="M51" s="120">
        <f>IF(ISNA(VLOOKUP($R$7,$AB$2:$BS$4,37,)),"", (VLOOKUP($R$7,$AB$2:$BS$4,37,)))</f>
        <v>0.26</v>
      </c>
      <c r="N51" s="149">
        <f t="shared" si="16"/>
        <v>17.889999999999997</v>
      </c>
      <c r="O51" s="43">
        <f t="shared" si="17"/>
        <v>0</v>
      </c>
      <c r="P51" s="43">
        <f t="shared" si="18"/>
        <v>17.889999999999997</v>
      </c>
      <c r="Q51" s="148">
        <f t="shared" si="19"/>
        <v>17.889999999999997</v>
      </c>
      <c r="R51" s="46">
        <f t="shared" si="5"/>
        <v>6.9535499999999999</v>
      </c>
      <c r="S51" s="153">
        <v>15.35</v>
      </c>
      <c r="T51" s="78">
        <f t="shared" si="6"/>
        <v>10.936449999999997</v>
      </c>
      <c r="U51" s="78">
        <f t="shared" si="20"/>
        <v>1.8227416666666663</v>
      </c>
      <c r="V51" s="47">
        <f t="shared" si="7"/>
        <v>10.936449999999997</v>
      </c>
      <c r="W51" s="10"/>
    </row>
    <row r="52" spans="1:23" ht="15" customHeight="1" x14ac:dyDescent="0.2">
      <c r="A52" s="32" t="s">
        <v>194</v>
      </c>
      <c r="B52" s="84" t="s">
        <v>31</v>
      </c>
      <c r="C52" s="85" t="s">
        <v>195</v>
      </c>
      <c r="D52" s="35" t="s">
        <v>90</v>
      </c>
      <c r="E52" s="35" t="s">
        <v>196</v>
      </c>
      <c r="F52" s="36">
        <v>6</v>
      </c>
      <c r="G52" s="33">
        <v>48</v>
      </c>
      <c r="H52" s="37">
        <v>40.5</v>
      </c>
      <c r="I52" s="38">
        <v>1</v>
      </c>
      <c r="J52" s="33" t="s">
        <v>92</v>
      </c>
      <c r="K52" s="39" t="s">
        <v>93</v>
      </c>
      <c r="L52" s="86">
        <v>22.7</v>
      </c>
      <c r="M52" s="120">
        <f>IF(ISNA(VLOOKUP($R$7,$AB$2:$BS$4,38,)),"", (VLOOKUP($R$7,$AB$2:$BS$4,38,)))</f>
        <v>0.51</v>
      </c>
      <c r="N52" s="149">
        <f t="shared" si="16"/>
        <v>22.189999999999998</v>
      </c>
      <c r="O52" s="43">
        <f t="shared" si="17"/>
        <v>0</v>
      </c>
      <c r="P52" s="43">
        <f t="shared" si="18"/>
        <v>22.189999999999998</v>
      </c>
      <c r="Q52" s="148">
        <f t="shared" si="19"/>
        <v>22.189999999999998</v>
      </c>
      <c r="R52" s="46">
        <f t="shared" si="5"/>
        <v>4.7655599999999998</v>
      </c>
      <c r="S52" s="153">
        <v>10.52</v>
      </c>
      <c r="T52" s="78">
        <f t="shared" si="6"/>
        <v>17.424439999999997</v>
      </c>
      <c r="U52" s="78">
        <f t="shared" si="20"/>
        <v>2.9040733333333328</v>
      </c>
      <c r="V52" s="47">
        <f t="shared" si="7"/>
        <v>17.424439999999997</v>
      </c>
      <c r="W52" s="10"/>
    </row>
    <row r="53" spans="1:23" ht="15" customHeight="1" x14ac:dyDescent="0.2">
      <c r="A53" s="32" t="s">
        <v>197</v>
      </c>
      <c r="B53" s="84" t="s">
        <v>32</v>
      </c>
      <c r="C53" s="85" t="s">
        <v>198</v>
      </c>
      <c r="D53" s="35" t="s">
        <v>90</v>
      </c>
      <c r="E53" s="35" t="s">
        <v>188</v>
      </c>
      <c r="F53" s="36">
        <v>6</v>
      </c>
      <c r="G53" s="33">
        <v>45</v>
      </c>
      <c r="H53" s="37">
        <v>39.380000000000003</v>
      </c>
      <c r="I53" s="38">
        <v>1</v>
      </c>
      <c r="J53" s="33" t="s">
        <v>92</v>
      </c>
      <c r="K53" s="39" t="s">
        <v>93</v>
      </c>
      <c r="L53" s="86">
        <v>18</v>
      </c>
      <c r="M53" s="120">
        <f>IF(ISNA(VLOOKUP($R$7,$AB$2:$BS$4,39,)),"", (VLOOKUP($R$7,$AB$2:$BS$4,39,)))</f>
        <v>0.26</v>
      </c>
      <c r="N53" s="149">
        <f t="shared" si="16"/>
        <v>17.739999999999998</v>
      </c>
      <c r="O53" s="43">
        <f t="shared" si="17"/>
        <v>0</v>
      </c>
      <c r="P53" s="43">
        <f t="shared" si="18"/>
        <v>17.739999999999998</v>
      </c>
      <c r="Q53" s="148">
        <f t="shared" si="19"/>
        <v>17.739999999999998</v>
      </c>
      <c r="R53" s="46">
        <f t="shared" si="5"/>
        <v>7.88673</v>
      </c>
      <c r="S53" s="153">
        <v>17.41</v>
      </c>
      <c r="T53" s="78">
        <f t="shared" si="6"/>
        <v>9.8532699999999984</v>
      </c>
      <c r="U53" s="78">
        <f t="shared" si="20"/>
        <v>1.6422116666666664</v>
      </c>
      <c r="V53" s="47">
        <f t="shared" si="7"/>
        <v>9.8532699999999984</v>
      </c>
      <c r="W53" s="10"/>
    </row>
    <row r="54" spans="1:23" ht="15" customHeight="1" x14ac:dyDescent="0.2">
      <c r="A54" s="32" t="s">
        <v>199</v>
      </c>
      <c r="B54" s="84" t="s">
        <v>33</v>
      </c>
      <c r="C54" s="85" t="s">
        <v>200</v>
      </c>
      <c r="D54" s="35" t="s">
        <v>90</v>
      </c>
      <c r="E54" s="35" t="s">
        <v>201</v>
      </c>
      <c r="F54" s="36">
        <v>6</v>
      </c>
      <c r="G54" s="33">
        <v>47</v>
      </c>
      <c r="H54" s="37">
        <v>41.63</v>
      </c>
      <c r="I54" s="38">
        <v>1</v>
      </c>
      <c r="J54" s="33" t="s">
        <v>92</v>
      </c>
      <c r="K54" s="39" t="s">
        <v>93</v>
      </c>
      <c r="L54" s="86">
        <v>29.05</v>
      </c>
      <c r="M54" s="120">
        <f>IF(ISNA(VLOOKUP($R$7,$AB$2:$BS$4,40,)),"", (VLOOKUP($R$7,$AB$2:$BS$4,40,)))</f>
        <v>0.26</v>
      </c>
      <c r="N54" s="149">
        <f t="shared" si="16"/>
        <v>28.79</v>
      </c>
      <c r="O54" s="43">
        <f t="shared" si="17"/>
        <v>0</v>
      </c>
      <c r="P54" s="43">
        <f t="shared" si="18"/>
        <v>28.79</v>
      </c>
      <c r="Q54" s="148">
        <f t="shared" si="19"/>
        <v>28.79</v>
      </c>
      <c r="R54" s="46">
        <f t="shared" si="5"/>
        <v>14.02941</v>
      </c>
      <c r="S54" s="153">
        <v>30.97</v>
      </c>
      <c r="T54" s="78">
        <f t="shared" si="6"/>
        <v>14.760589999999999</v>
      </c>
      <c r="U54" s="78">
        <f t="shared" si="20"/>
        <v>2.4600983333333333</v>
      </c>
      <c r="V54" s="47">
        <f t="shared" si="7"/>
        <v>14.760589999999999</v>
      </c>
      <c r="W54" s="10"/>
    </row>
    <row r="55" spans="1:23" ht="15" customHeight="1" x14ac:dyDescent="0.2">
      <c r="A55" s="58" t="s">
        <v>202</v>
      </c>
      <c r="B55" s="157" t="s">
        <v>34</v>
      </c>
      <c r="C55" s="75" t="s">
        <v>203</v>
      </c>
      <c r="D55" s="158" t="s">
        <v>90</v>
      </c>
      <c r="E55" s="158" t="s">
        <v>181</v>
      </c>
      <c r="F55" s="52">
        <v>6</v>
      </c>
      <c r="G55" s="59">
        <v>46</v>
      </c>
      <c r="H55" s="61">
        <v>39.75</v>
      </c>
      <c r="I55" s="62">
        <v>1</v>
      </c>
      <c r="J55" s="59" t="s">
        <v>92</v>
      </c>
      <c r="K55" s="55" t="s">
        <v>93</v>
      </c>
      <c r="L55" s="77">
        <v>16.25</v>
      </c>
      <c r="M55" s="120">
        <f>IF(ISNA(VLOOKUP($R$7,$AB$2:$BS$4,41,)),"", (VLOOKUP($R$7,$AB$2:$BS$4,41,)))</f>
        <v>0.26</v>
      </c>
      <c r="N55" s="147">
        <f t="shared" si="16"/>
        <v>15.99</v>
      </c>
      <c r="O55" s="43">
        <f t="shared" si="17"/>
        <v>0</v>
      </c>
      <c r="P55" s="43">
        <f t="shared" si="18"/>
        <v>15.99</v>
      </c>
      <c r="Q55" s="148">
        <f t="shared" si="19"/>
        <v>15.99</v>
      </c>
      <c r="R55" s="46">
        <f t="shared" si="5"/>
        <v>4.4031600000000006</v>
      </c>
      <c r="S55" s="153">
        <v>9.7200000000000006</v>
      </c>
      <c r="T55" s="78">
        <f t="shared" si="6"/>
        <v>11.586839999999999</v>
      </c>
      <c r="U55" s="78">
        <f t="shared" si="20"/>
        <v>1.9311399999999999</v>
      </c>
      <c r="V55" s="47">
        <f t="shared" si="7"/>
        <v>11.586839999999999</v>
      </c>
      <c r="W55" s="10"/>
    </row>
    <row r="56" spans="1:23" ht="15" customHeight="1" x14ac:dyDescent="0.2">
      <c r="A56" s="58" t="s">
        <v>204</v>
      </c>
      <c r="B56" s="157" t="s">
        <v>35</v>
      </c>
      <c r="C56" s="75" t="s">
        <v>205</v>
      </c>
      <c r="D56" s="158" t="s">
        <v>90</v>
      </c>
      <c r="E56" s="158" t="s">
        <v>181</v>
      </c>
      <c r="F56" s="52">
        <v>6</v>
      </c>
      <c r="G56" s="59">
        <v>45</v>
      </c>
      <c r="H56" s="61">
        <v>39.75</v>
      </c>
      <c r="I56" s="62">
        <v>1</v>
      </c>
      <c r="J56" s="59" t="s">
        <v>92</v>
      </c>
      <c r="K56" s="55" t="s">
        <v>93</v>
      </c>
      <c r="L56" s="77">
        <v>18.850000000000001</v>
      </c>
      <c r="M56" s="120">
        <f>IF(ISNA(VLOOKUP($R$7,$AB$2:$BS$4,42,)),"", (VLOOKUP($R$7,$AB$2:$BS$4,42,)))</f>
        <v>0.26</v>
      </c>
      <c r="N56" s="147">
        <f t="shared" si="16"/>
        <v>18.59</v>
      </c>
      <c r="O56" s="43">
        <f t="shared" si="17"/>
        <v>0</v>
      </c>
      <c r="P56" s="43">
        <f t="shared" si="18"/>
        <v>18.59</v>
      </c>
      <c r="Q56" s="148">
        <f t="shared" si="19"/>
        <v>18.59</v>
      </c>
      <c r="R56" s="46">
        <f t="shared" si="5"/>
        <v>7.3657800000000009</v>
      </c>
      <c r="S56" s="153">
        <v>16.260000000000002</v>
      </c>
      <c r="T56" s="78">
        <f t="shared" si="6"/>
        <v>11.224219999999999</v>
      </c>
      <c r="U56" s="78">
        <f t="shared" si="20"/>
        <v>1.8707033333333332</v>
      </c>
      <c r="V56" s="47">
        <f t="shared" si="7"/>
        <v>11.224219999999999</v>
      </c>
      <c r="W56" s="10"/>
    </row>
    <row r="57" spans="1:23" ht="15" customHeight="1" x14ac:dyDescent="0.2">
      <c r="A57" s="58" t="s">
        <v>206</v>
      </c>
      <c r="B57" s="87" t="s">
        <v>36</v>
      </c>
      <c r="C57" s="88" t="s">
        <v>207</v>
      </c>
      <c r="D57" s="89" t="s">
        <v>208</v>
      </c>
      <c r="E57" s="89" t="s">
        <v>209</v>
      </c>
      <c r="F57" s="90">
        <v>8</v>
      </c>
      <c r="G57" s="87">
        <v>29</v>
      </c>
      <c r="H57" s="61">
        <v>24.58</v>
      </c>
      <c r="I57" s="91">
        <v>0.97</v>
      </c>
      <c r="J57" s="59" t="s">
        <v>210</v>
      </c>
      <c r="K57" s="55" t="s">
        <v>211</v>
      </c>
      <c r="L57" s="77">
        <v>10.3</v>
      </c>
      <c r="M57" s="120">
        <f>IF(ISNA(VLOOKUP($R$7,$AB$2:$BS$4,43,)),"", (VLOOKUP($R$7,$AB$2:$BS$4,43,)))</f>
        <v>0.26</v>
      </c>
      <c r="N57" s="147">
        <f t="shared" si="16"/>
        <v>10.040000000000001</v>
      </c>
      <c r="O57" s="43">
        <f t="shared" si="17"/>
        <v>0</v>
      </c>
      <c r="P57" s="43">
        <f t="shared" si="18"/>
        <v>10.040000000000001</v>
      </c>
      <c r="Q57" s="148">
        <f t="shared" si="19"/>
        <v>10.040000000000001</v>
      </c>
      <c r="R57" s="46">
        <f t="shared" si="5"/>
        <v>1.8346499999999999</v>
      </c>
      <c r="S57" s="154">
        <v>4.05</v>
      </c>
      <c r="T57" s="78">
        <f t="shared" si="6"/>
        <v>8.205350000000001</v>
      </c>
      <c r="U57" s="78">
        <f t="shared" si="20"/>
        <v>1.0256687500000001</v>
      </c>
      <c r="V57" s="47">
        <f t="shared" si="7"/>
        <v>8.205350000000001</v>
      </c>
      <c r="W57" s="10"/>
    </row>
    <row r="58" spans="1:23" ht="15" customHeight="1" x14ac:dyDescent="0.2">
      <c r="A58" s="58" t="s">
        <v>212</v>
      </c>
      <c r="B58" s="92" t="s">
        <v>37</v>
      </c>
      <c r="C58" s="75" t="s">
        <v>213</v>
      </c>
      <c r="D58" s="158" t="s">
        <v>214</v>
      </c>
      <c r="E58" s="158" t="s">
        <v>209</v>
      </c>
      <c r="F58" s="52">
        <v>12</v>
      </c>
      <c r="G58" s="59">
        <v>44</v>
      </c>
      <c r="H58" s="61">
        <v>36.86</v>
      </c>
      <c r="I58" s="62">
        <v>1</v>
      </c>
      <c r="J58" s="59" t="s">
        <v>215</v>
      </c>
      <c r="K58" s="158" t="s">
        <v>93</v>
      </c>
      <c r="L58" s="93">
        <v>14.15</v>
      </c>
      <c r="M58" s="120">
        <f>IF(ISNA(VLOOKUP($R$7,$AB$2:$BS$4,44,)),"", (VLOOKUP($R$7,$AB$2:$BS$4,44,)))</f>
        <v>0.26</v>
      </c>
      <c r="N58" s="41">
        <f t="shared" si="16"/>
        <v>13.89</v>
      </c>
      <c r="O58" s="43">
        <f t="shared" si="17"/>
        <v>0</v>
      </c>
      <c r="P58" s="43">
        <f t="shared" si="18"/>
        <v>13.89</v>
      </c>
      <c r="Q58" s="148">
        <f t="shared" si="19"/>
        <v>13.89</v>
      </c>
      <c r="R58" s="46">
        <f t="shared" si="5"/>
        <v>2.5821000000000001</v>
      </c>
      <c r="S58" s="154">
        <v>5.7</v>
      </c>
      <c r="T58" s="78">
        <f t="shared" si="6"/>
        <v>11.3079</v>
      </c>
      <c r="U58" s="78">
        <f t="shared" si="20"/>
        <v>0.94232499999999997</v>
      </c>
      <c r="V58" s="47">
        <f t="shared" si="7"/>
        <v>11.3079</v>
      </c>
      <c r="W58" s="10"/>
    </row>
    <row r="59" spans="1:23" ht="15" customHeight="1" x14ac:dyDescent="0.2">
      <c r="A59" s="58" t="s">
        <v>216</v>
      </c>
      <c r="B59" s="87" t="s">
        <v>217</v>
      </c>
      <c r="C59" s="144" t="s">
        <v>272</v>
      </c>
      <c r="D59" s="89" t="s">
        <v>218</v>
      </c>
      <c r="E59" s="89" t="s">
        <v>219</v>
      </c>
      <c r="F59" s="90">
        <v>6</v>
      </c>
      <c r="G59" s="87">
        <v>45</v>
      </c>
      <c r="H59" s="94">
        <v>38.25</v>
      </c>
      <c r="I59" s="91">
        <v>1</v>
      </c>
      <c r="J59" s="59" t="s">
        <v>92</v>
      </c>
      <c r="K59" s="158" t="s">
        <v>220</v>
      </c>
      <c r="L59" s="93">
        <v>17.600000000000001</v>
      </c>
      <c r="M59" s="120">
        <f>IF(ISNA(VLOOKUP($R$7,$AB$2:$BY$4,45,)),"", (VLOOKUP($R$7,$AB$2:$BY$4,45,)))</f>
        <v>0.51</v>
      </c>
      <c r="N59" s="41">
        <f t="shared" si="16"/>
        <v>17.09</v>
      </c>
      <c r="O59" s="43">
        <f t="shared" si="17"/>
        <v>0</v>
      </c>
      <c r="P59" s="43">
        <f t="shared" si="18"/>
        <v>17.09</v>
      </c>
      <c r="Q59" s="148">
        <f t="shared" si="19"/>
        <v>17.09</v>
      </c>
      <c r="R59" s="46" t="s">
        <v>176</v>
      </c>
      <c r="S59" s="46" t="s">
        <v>176</v>
      </c>
      <c r="T59" s="46" t="s">
        <v>176</v>
      </c>
      <c r="U59" s="46" t="s">
        <v>176</v>
      </c>
      <c r="V59" s="46" t="s">
        <v>176</v>
      </c>
      <c r="W59" s="10"/>
    </row>
    <row r="60" spans="1:23" ht="15" customHeight="1" x14ac:dyDescent="0.2">
      <c r="A60" s="58" t="s">
        <v>221</v>
      </c>
      <c r="B60" s="87" t="s">
        <v>222</v>
      </c>
      <c r="C60" s="144" t="s">
        <v>271</v>
      </c>
      <c r="D60" s="89" t="s">
        <v>218</v>
      </c>
      <c r="E60" s="89" t="s">
        <v>181</v>
      </c>
      <c r="F60" s="90">
        <v>6</v>
      </c>
      <c r="G60" s="87">
        <v>45</v>
      </c>
      <c r="H60" s="94">
        <v>39.75</v>
      </c>
      <c r="I60" s="91">
        <v>1</v>
      </c>
      <c r="J60" s="59" t="s">
        <v>92</v>
      </c>
      <c r="K60" s="158" t="s">
        <v>220</v>
      </c>
      <c r="L60" s="93">
        <v>14.9</v>
      </c>
      <c r="M60" s="120">
        <f>IF(ISNA(VLOOKUP($R$7,$AB$2:$BY$4,46,)),"", (VLOOKUP($R$7,$AB$2:$BY$4,46,)))</f>
        <v>0.26</v>
      </c>
      <c r="N60" s="41">
        <f t="shared" si="16"/>
        <v>14.64</v>
      </c>
      <c r="O60" s="43">
        <f t="shared" si="17"/>
        <v>0</v>
      </c>
      <c r="P60" s="43">
        <f t="shared" si="18"/>
        <v>14.64</v>
      </c>
      <c r="Q60" s="148">
        <f t="shared" si="19"/>
        <v>14.64</v>
      </c>
      <c r="R60" s="46" t="s">
        <v>176</v>
      </c>
      <c r="S60" s="46" t="s">
        <v>176</v>
      </c>
      <c r="T60" s="46" t="s">
        <v>176</v>
      </c>
      <c r="U60" s="46" t="s">
        <v>176</v>
      </c>
      <c r="V60" s="46" t="s">
        <v>176</v>
      </c>
      <c r="W60" s="10"/>
    </row>
    <row r="61" spans="1:23" ht="15" customHeight="1" x14ac:dyDescent="0.2">
      <c r="A61" s="58" t="s">
        <v>223</v>
      </c>
      <c r="B61" s="87" t="s">
        <v>224</v>
      </c>
      <c r="C61" s="144" t="s">
        <v>270</v>
      </c>
      <c r="D61" s="89" t="s">
        <v>218</v>
      </c>
      <c r="E61" s="89" t="s">
        <v>181</v>
      </c>
      <c r="F61" s="90">
        <v>6</v>
      </c>
      <c r="G61" s="87">
        <v>45</v>
      </c>
      <c r="H61" s="94">
        <v>39.75</v>
      </c>
      <c r="I61" s="91">
        <v>1</v>
      </c>
      <c r="J61" s="59" t="s">
        <v>92</v>
      </c>
      <c r="K61" s="158" t="s">
        <v>220</v>
      </c>
      <c r="L61" s="93">
        <v>17.2</v>
      </c>
      <c r="M61" s="120">
        <f>IF(ISNA(VLOOKUP($R$7,$AB$2:$BY$4,47,)),"", (VLOOKUP($R$7,$AB$2:$BY$4,47,)))</f>
        <v>0.26</v>
      </c>
      <c r="N61" s="41">
        <f t="shared" si="16"/>
        <v>16.939999999999998</v>
      </c>
      <c r="O61" s="43">
        <f t="shared" si="17"/>
        <v>0</v>
      </c>
      <c r="P61" s="43">
        <f t="shared" si="18"/>
        <v>16.939999999999998</v>
      </c>
      <c r="Q61" s="148">
        <f t="shared" si="19"/>
        <v>16.939999999999998</v>
      </c>
      <c r="R61" s="46" t="s">
        <v>176</v>
      </c>
      <c r="S61" s="46" t="s">
        <v>176</v>
      </c>
      <c r="T61" s="46" t="s">
        <v>176</v>
      </c>
      <c r="U61" s="46" t="s">
        <v>176</v>
      </c>
      <c r="V61" s="46" t="s">
        <v>176</v>
      </c>
      <c r="W61" s="10"/>
    </row>
    <row r="62" spans="1:23" ht="27.75" customHeight="1" x14ac:dyDescent="0.2">
      <c r="A62" s="158"/>
      <c r="B62" s="89"/>
      <c r="C62" s="144" t="s">
        <v>273</v>
      </c>
      <c r="D62" s="89"/>
      <c r="E62" s="89"/>
      <c r="F62" s="89"/>
      <c r="G62" s="87"/>
      <c r="H62" s="89"/>
      <c r="I62" s="89"/>
      <c r="J62" s="87"/>
      <c r="K62" s="222" t="s">
        <v>289</v>
      </c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10"/>
    </row>
    <row r="63" spans="1:23" ht="14.1" customHeight="1" x14ac:dyDescent="0.2">
      <c r="A63" s="223" t="s">
        <v>225</v>
      </c>
      <c r="B63" s="224"/>
      <c r="C63" s="225"/>
      <c r="D63" s="226" t="s">
        <v>226</v>
      </c>
      <c r="E63" s="227"/>
      <c r="F63" s="227"/>
      <c r="G63" s="227"/>
      <c r="H63" s="227"/>
      <c r="I63" s="227"/>
      <c r="J63" s="227"/>
      <c r="K63" s="228" t="s">
        <v>227</v>
      </c>
      <c r="L63" s="229"/>
      <c r="M63" s="95">
        <f>O11</f>
        <v>0</v>
      </c>
      <c r="N63" s="96"/>
      <c r="O63" s="97"/>
      <c r="P63" s="97"/>
      <c r="Q63" s="97"/>
      <c r="R63" s="98"/>
      <c r="S63" s="98"/>
      <c r="T63" s="98"/>
      <c r="U63" s="99"/>
      <c r="V63" s="100"/>
      <c r="W63" s="10"/>
    </row>
    <row r="64" spans="1:23" ht="14.1" customHeight="1" x14ac:dyDescent="0.2">
      <c r="A64" s="230" t="s">
        <v>228</v>
      </c>
      <c r="B64" s="231"/>
      <c r="C64" s="232"/>
      <c r="D64" s="233"/>
      <c r="E64" s="234"/>
      <c r="F64" s="234"/>
      <c r="G64" s="234"/>
      <c r="H64" s="234"/>
      <c r="I64" s="234"/>
      <c r="J64" s="235" t="s">
        <v>229</v>
      </c>
      <c r="K64" s="235"/>
      <c r="L64" s="235"/>
      <c r="M64" s="101">
        <f>Q11</f>
        <v>0</v>
      </c>
      <c r="N64" s="102"/>
      <c r="O64" s="96"/>
      <c r="P64" s="96"/>
      <c r="Q64" s="103"/>
      <c r="R64" s="104"/>
      <c r="S64" s="104"/>
      <c r="T64" s="104"/>
      <c r="U64" s="104"/>
      <c r="V64" s="100"/>
      <c r="W64" s="10"/>
    </row>
    <row r="65" spans="1:23" ht="14.1" customHeight="1" x14ac:dyDescent="0.2">
      <c r="A65" s="159" t="s">
        <v>230</v>
      </c>
      <c r="B65" s="160"/>
      <c r="C65" s="160"/>
      <c r="D65" s="236"/>
      <c r="E65" s="237"/>
      <c r="F65" s="237"/>
      <c r="G65" s="237"/>
      <c r="H65" s="237"/>
      <c r="I65" s="237"/>
      <c r="J65" s="238" t="s">
        <v>231</v>
      </c>
      <c r="K65" s="238"/>
      <c r="L65" s="238"/>
      <c r="M65" s="101">
        <v>0</v>
      </c>
      <c r="N65" s="107"/>
      <c r="O65" s="96"/>
      <c r="P65" s="96"/>
      <c r="Q65" s="103"/>
      <c r="R65" s="104"/>
      <c r="S65" s="104"/>
      <c r="T65" s="104"/>
      <c r="U65" s="104"/>
      <c r="V65" s="100"/>
      <c r="W65" s="10"/>
    </row>
    <row r="66" spans="1:23" ht="14.1" customHeight="1" x14ac:dyDescent="0.2">
      <c r="A66" s="159" t="s">
        <v>232</v>
      </c>
      <c r="B66" s="160"/>
      <c r="C66" s="160"/>
      <c r="D66" s="219" t="s">
        <v>233</v>
      </c>
      <c r="E66" s="219"/>
      <c r="F66" s="219"/>
      <c r="G66" s="219"/>
      <c r="H66" s="220" t="s">
        <v>234</v>
      </c>
      <c r="I66" s="220"/>
      <c r="J66" s="220"/>
      <c r="K66" s="221" t="s">
        <v>235</v>
      </c>
      <c r="L66" s="221"/>
      <c r="M66" s="221"/>
      <c r="N66" s="99"/>
      <c r="O66" s="96"/>
      <c r="P66" s="96"/>
      <c r="Q66" s="103"/>
      <c r="R66" s="104"/>
      <c r="S66" s="104"/>
      <c r="T66" s="104"/>
      <c r="U66" s="104"/>
      <c r="V66" s="100"/>
      <c r="W66" s="10"/>
    </row>
    <row r="67" spans="1:23" ht="14.1" customHeight="1" x14ac:dyDescent="0.2">
      <c r="A67" s="159" t="s">
        <v>236</v>
      </c>
      <c r="B67" s="160"/>
      <c r="C67" s="160"/>
      <c r="D67" s="239" t="s">
        <v>237</v>
      </c>
      <c r="E67" s="239"/>
      <c r="F67" s="239"/>
      <c r="G67" s="239"/>
      <c r="H67" s="240" t="s">
        <v>55</v>
      </c>
      <c r="I67" s="240"/>
      <c r="J67" s="240"/>
      <c r="K67" s="240" t="s">
        <v>238</v>
      </c>
      <c r="L67" s="240"/>
      <c r="M67" s="240"/>
      <c r="N67" s="108"/>
      <c r="O67" s="109"/>
      <c r="P67" s="109"/>
      <c r="Q67" s="103"/>
      <c r="R67" s="104"/>
      <c r="S67" s="104"/>
      <c r="T67" s="104"/>
      <c r="U67" s="104"/>
      <c r="V67" s="100"/>
      <c r="W67" s="10"/>
    </row>
    <row r="68" spans="1:23" ht="14.1" customHeight="1" x14ac:dyDescent="0.2">
      <c r="A68" s="241" t="s">
        <v>290</v>
      </c>
      <c r="B68" s="242"/>
      <c r="C68" s="242"/>
      <c r="D68" s="239" t="s">
        <v>239</v>
      </c>
      <c r="E68" s="239"/>
      <c r="F68" s="239"/>
      <c r="G68" s="239"/>
      <c r="H68" s="240" t="str">
        <f>IF(ISNA(VLOOKUP($H$67,$BZ$1:$CD$6,2,)),"", (VLOOKUP($H$67,$BZ$1:$CD$6,2,)))</f>
        <v>K12 National Sls. Mgr</v>
      </c>
      <c r="I68" s="240"/>
      <c r="J68" s="240"/>
      <c r="K68" s="240" t="s">
        <v>240</v>
      </c>
      <c r="L68" s="240"/>
      <c r="M68" s="240"/>
      <c r="N68" s="108"/>
      <c r="O68" s="96"/>
      <c r="P68" s="96"/>
      <c r="Q68" s="103"/>
      <c r="R68" s="104"/>
      <c r="S68" s="104"/>
      <c r="T68" s="104"/>
      <c r="U68" s="104"/>
      <c r="V68" s="100"/>
      <c r="W68" s="10"/>
    </row>
    <row r="69" spans="1:23" ht="14.1" customHeight="1" x14ac:dyDescent="0.2">
      <c r="A69" s="241"/>
      <c r="B69" s="242"/>
      <c r="C69" s="242"/>
      <c r="D69" s="239" t="s">
        <v>241</v>
      </c>
      <c r="E69" s="239"/>
      <c r="F69" s="239"/>
      <c r="G69" s="239"/>
      <c r="H69" s="240" t="str">
        <f>IF(ISNA(VLOOKUP($H$67,$BZ$1:$CD$6,3,)),"", (VLOOKUP($H$67,$BZ$1:$CD$6,3,)))</f>
        <v>Austin, TX</v>
      </c>
      <c r="I69" s="240"/>
      <c r="J69" s="240"/>
      <c r="K69" s="243" t="s">
        <v>242</v>
      </c>
      <c r="L69" s="243"/>
      <c r="M69" s="243"/>
      <c r="N69" s="110"/>
      <c r="O69" s="96"/>
      <c r="P69" s="96"/>
      <c r="Q69" s="103"/>
      <c r="R69" s="104"/>
      <c r="S69" s="104"/>
      <c r="T69" s="104"/>
      <c r="U69" s="104"/>
      <c r="V69" s="100"/>
      <c r="W69" s="10"/>
    </row>
    <row r="70" spans="1:23" ht="14.1" customHeight="1" x14ac:dyDescent="0.2">
      <c r="A70" s="244" t="s">
        <v>243</v>
      </c>
      <c r="B70" s="245"/>
      <c r="C70" s="246"/>
      <c r="D70" s="239" t="s">
        <v>244</v>
      </c>
      <c r="E70" s="239"/>
      <c r="F70" s="239"/>
      <c r="G70" s="239"/>
      <c r="H70" s="240" t="str">
        <f>IF(ISNA(VLOOKUP($H$67,$BZ$1:$CD$6,4,)),"", (VLOOKUP($H$67,$BZ$1:$CD$6,4,)))</f>
        <v>(512) 626-4980</v>
      </c>
      <c r="I70" s="240"/>
      <c r="J70" s="240"/>
      <c r="K70" s="247" t="s">
        <v>245</v>
      </c>
      <c r="L70" s="247"/>
      <c r="M70" s="247"/>
      <c r="N70" s="111"/>
      <c r="O70" s="96"/>
      <c r="P70" s="96"/>
      <c r="Q70" s="112"/>
      <c r="R70" s="113"/>
      <c r="S70" s="113"/>
      <c r="T70" s="113"/>
      <c r="U70" s="113"/>
      <c r="V70" s="100"/>
      <c r="W70" s="10"/>
    </row>
    <row r="71" spans="1:23" ht="14.1" customHeight="1" x14ac:dyDescent="0.2">
      <c r="A71" s="114" t="s">
        <v>246</v>
      </c>
      <c r="B71" s="115"/>
      <c r="C71" s="116"/>
      <c r="D71" s="239" t="s">
        <v>247</v>
      </c>
      <c r="E71" s="239"/>
      <c r="F71" s="239"/>
      <c r="G71" s="239"/>
      <c r="H71" s="249"/>
      <c r="I71" s="249"/>
      <c r="J71" s="249"/>
      <c r="K71" s="250"/>
      <c r="L71" s="251"/>
      <c r="M71" s="252"/>
      <c r="N71" s="117"/>
      <c r="O71" s="117"/>
      <c r="P71" s="117"/>
      <c r="Q71" s="117"/>
      <c r="R71" s="118"/>
      <c r="S71" s="118"/>
      <c r="T71" s="118"/>
      <c r="U71" s="118"/>
      <c r="V71" s="100"/>
      <c r="W71" s="10"/>
    </row>
    <row r="72" spans="1:23" ht="14.1" customHeight="1" x14ac:dyDescent="0.2">
      <c r="A72" s="253"/>
      <c r="B72" s="253"/>
      <c r="C72" s="253"/>
      <c r="D72" s="239" t="s">
        <v>248</v>
      </c>
      <c r="E72" s="239"/>
      <c r="F72" s="239"/>
      <c r="G72" s="239"/>
      <c r="H72" s="254" t="str">
        <f>IF(ISNA(VLOOKUP($H$67,$BZ$1:$CD$6,5,)),"", (VLOOKUP($H$67,$BZ$1:$CD$6,5,)))</f>
        <v>jbatten@redgold.com</v>
      </c>
      <c r="I72" s="254"/>
      <c r="J72" s="254"/>
      <c r="K72" s="255" t="s">
        <v>249</v>
      </c>
      <c r="L72" s="255"/>
      <c r="M72" s="255"/>
      <c r="N72" s="10"/>
      <c r="O72" s="10"/>
      <c r="P72" s="10"/>
      <c r="Q72" s="10"/>
      <c r="R72" s="100"/>
      <c r="S72" s="100"/>
      <c r="T72" s="100"/>
      <c r="U72" s="100"/>
      <c r="V72" s="100"/>
      <c r="W72" s="10"/>
    </row>
    <row r="73" spans="1:23" ht="15.75" x14ac:dyDescent="0.25">
      <c r="A73" s="248" t="s">
        <v>250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10"/>
      <c r="O73" s="10"/>
      <c r="P73" s="10"/>
      <c r="Q73" s="10"/>
      <c r="R73" s="100"/>
      <c r="S73" s="100"/>
      <c r="T73" s="100"/>
      <c r="U73" s="100"/>
      <c r="V73" s="100"/>
      <c r="W73" s="10"/>
    </row>
  </sheetData>
  <mergeCells count="78">
    <mergeCell ref="T7:V8"/>
    <mergeCell ref="E3:L6"/>
    <mergeCell ref="E7:H7"/>
    <mergeCell ref="I7:K7"/>
    <mergeCell ref="O7:Q7"/>
    <mergeCell ref="R7:S7"/>
    <mergeCell ref="C8:D8"/>
    <mergeCell ref="E8:H8"/>
    <mergeCell ref="I8:K8"/>
    <mergeCell ref="M8:R8"/>
    <mergeCell ref="C9:K9"/>
    <mergeCell ref="L9:Q9"/>
    <mergeCell ref="R9:S9"/>
    <mergeCell ref="T9:V9"/>
    <mergeCell ref="W9:W11"/>
    <mergeCell ref="A10:A11"/>
    <mergeCell ref="B10:B11"/>
    <mergeCell ref="C10:C11"/>
    <mergeCell ref="D10:D11"/>
    <mergeCell ref="E10:E11"/>
    <mergeCell ref="F10:F11"/>
    <mergeCell ref="G10:G11"/>
    <mergeCell ref="H10:H11"/>
    <mergeCell ref="V10:V11"/>
    <mergeCell ref="I10:I11"/>
    <mergeCell ref="J10:J11"/>
    <mergeCell ref="K10:K11"/>
    <mergeCell ref="L10:L11"/>
    <mergeCell ref="M10:M11"/>
    <mergeCell ref="N10:N11"/>
    <mergeCell ref="P10:P11"/>
    <mergeCell ref="R10:R11"/>
    <mergeCell ref="S10:S11"/>
    <mergeCell ref="T10:T11"/>
    <mergeCell ref="U10:U11"/>
    <mergeCell ref="A12:C12"/>
    <mergeCell ref="D12:V12"/>
    <mergeCell ref="A27:C27"/>
    <mergeCell ref="D27:V27"/>
    <mergeCell ref="A35:C35"/>
    <mergeCell ref="D35:V35"/>
    <mergeCell ref="D66:G66"/>
    <mergeCell ref="H66:J66"/>
    <mergeCell ref="K66:M66"/>
    <mergeCell ref="A42:C42"/>
    <mergeCell ref="D42:V42"/>
    <mergeCell ref="K62:V62"/>
    <mergeCell ref="A63:C63"/>
    <mergeCell ref="D63:J63"/>
    <mergeCell ref="K63:L63"/>
    <mergeCell ref="A64:C64"/>
    <mergeCell ref="D64:I64"/>
    <mergeCell ref="J64:L64"/>
    <mergeCell ref="D65:I65"/>
    <mergeCell ref="J65:L65"/>
    <mergeCell ref="D67:G67"/>
    <mergeCell ref="H67:J67"/>
    <mergeCell ref="K67:M67"/>
    <mergeCell ref="A68:C68"/>
    <mergeCell ref="D68:G68"/>
    <mergeCell ref="H68:J68"/>
    <mergeCell ref="K68:M68"/>
    <mergeCell ref="A69:C69"/>
    <mergeCell ref="D69:G69"/>
    <mergeCell ref="H69:J69"/>
    <mergeCell ref="K69:M69"/>
    <mergeCell ref="A70:C70"/>
    <mergeCell ref="D70:G70"/>
    <mergeCell ref="H70:J70"/>
    <mergeCell ref="K70:M70"/>
    <mergeCell ref="A73:M73"/>
    <mergeCell ref="D71:G71"/>
    <mergeCell ref="H71:J71"/>
    <mergeCell ref="K71:M71"/>
    <mergeCell ref="A72:C72"/>
    <mergeCell ref="D72:G72"/>
    <mergeCell ref="H72:J72"/>
    <mergeCell ref="K72:M72"/>
  </mergeCells>
  <dataValidations count="2">
    <dataValidation type="list" allowBlank="1" showInputMessage="1" showErrorMessage="1" sqref="H67:J67">
      <formula1>$BZ$1:$BZ$6</formula1>
    </dataValidation>
    <dataValidation type="list" allowBlank="1" showInputMessage="1" showErrorMessage="1" sqref="R7:S7">
      <formula1>$AB$2:$AB$4</formula1>
    </dataValidation>
  </dataValidations>
  <hyperlinks>
    <hyperlink ref="CD2" r:id="rId1"/>
    <hyperlink ref="K72" r:id="rId2"/>
    <hyperlink ref="M72" r:id="rId3" display="dsaverino@redgold.com"/>
    <hyperlink ref="K72:M72" r:id="rId4" display="jchaffin@redgold.com"/>
    <hyperlink ref="CD3" r:id="rId5"/>
    <hyperlink ref="CD6" r:id="rId6"/>
  </hyperlinks>
  <pageMargins left="0.25" right="0.25" top="0.75" bottom="0.75" header="0.3" footer="0.3"/>
  <pageSetup scale="39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progId="MSPhotoEd.3" shapeId="4097" r:id="rId10">
          <objectPr defaultSize="0" autoPict="0" r:id="rId11">
            <anchor moveWithCells="1">
              <from>
                <xdr:col>2</xdr:col>
                <xdr:colOff>285750</xdr:colOff>
                <xdr:row>0</xdr:row>
                <xdr:rowOff>171450</xdr:rowOff>
              </from>
              <to>
                <xdr:col>2</xdr:col>
                <xdr:colOff>3076575</xdr:colOff>
                <xdr:row>4</xdr:row>
                <xdr:rowOff>228600</xdr:rowOff>
              </to>
            </anchor>
          </objectPr>
        </oleObject>
      </mc:Choice>
      <mc:Fallback>
        <oleObject progId="MSPhotoEd.3" shapeId="4097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Tier 1 VR NOI price list</vt:lpstr>
      <vt:lpstr>Tier 2 VR NOI price list</vt:lpstr>
      <vt:lpstr>Tier 1 VR NOI price list (2)</vt:lpstr>
      <vt:lpstr>'Tier 1 VR NOI price list'!BeginningDate</vt:lpstr>
      <vt:lpstr>'Tier 1 VR NOI price list (2)'!BeginningDate</vt:lpstr>
      <vt:lpstr>BeginningDate</vt:lpstr>
      <vt:lpstr>'Tier 1 VR NOI price list'!DealDescription</vt:lpstr>
      <vt:lpstr>'Tier 1 VR NOI price list (2)'!DealDescription</vt:lpstr>
      <vt:lpstr>DealDescription</vt:lpstr>
      <vt:lpstr>'Tier 1 VR NOI price list'!EndDate</vt:lpstr>
      <vt:lpstr>'Tier 1 VR NOI price list (2)'!EndDate</vt:lpstr>
      <vt:lpstr>EndDate</vt:lpstr>
      <vt:lpstr>'Tier 1 VR NOI price list'!Print_Area</vt:lpstr>
      <vt:lpstr>'Tier 1 VR NOI price list (2)'!Print_Area</vt:lpstr>
      <vt:lpstr>'Tier 2 VR NOI price list'!Print_Area</vt:lpstr>
    </vt:vector>
  </TitlesOfParts>
  <Company>Red Gold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Meyers</dc:creator>
  <cp:lastModifiedBy>Todd Holmes</cp:lastModifiedBy>
  <cp:lastPrinted>2015-11-19T15:27:43Z</cp:lastPrinted>
  <dcterms:created xsi:type="dcterms:W3CDTF">2015-11-11T18:52:10Z</dcterms:created>
  <dcterms:modified xsi:type="dcterms:W3CDTF">2016-01-28T15:58:20Z</dcterms:modified>
</cp:coreProperties>
</file>